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0" yWindow="460" windowWidth="23720" windowHeight="14460" activeTab="3"/>
  </bookViews>
  <sheets>
    <sheet name="MARKEFF_PHARMA_DATA" sheetId="1" r:id="rId1"/>
    <sheet name="工作表5" sheetId="2" r:id="rId2"/>
    <sheet name="AVP_NLN_REG" sheetId="3" r:id="rId3"/>
    <sheet name="运算结果报告 1" sheetId="4" r:id="rId4"/>
    <sheet name="运算结果报告 2" sheetId="5" r:id="rId5"/>
    <sheet name="运算结果报告 3" sheetId="6" r:id="rId6"/>
    <sheet name="ROI" sheetId="7" r:id="rId7"/>
    <sheet name="Contributions" sheetId="8" r:id="rId8"/>
    <sheet name="Diagnostics" sheetId="9" r:id="rId9"/>
  </sheets>
  <definedNames>
    <definedName name="MARKEFF_PHARMA_DATA">'MARKEFF_PHARMA_DATA'!$A$1:$J$49</definedName>
    <definedName name="solver_adj" localSheetId="6" hidden="1">'ROI'!$B$41:$B$43</definedName>
    <definedName name="solver_cvg" localSheetId="6" hidden="1">0.0001</definedName>
    <definedName name="solver_drv" localSheetId="6" hidden="1">1</definedName>
    <definedName name="solver_eng" localSheetId="6" hidden="1">1</definedName>
    <definedName name="solver_itr" localSheetId="6" hidden="1">2147483647</definedName>
    <definedName name="solver_lhs1" localSheetId="6" hidden="1">'ROI'!$B$41</definedName>
    <definedName name="solver_lhs2" localSheetId="6" hidden="1">'ROI'!$B$41</definedName>
    <definedName name="solver_lhs3" localSheetId="6" hidden="1">'ROI'!$B$42</definedName>
    <definedName name="solver_lhs4" localSheetId="6" hidden="1">'ROI'!$B$42</definedName>
    <definedName name="solver_lhs5" localSheetId="6" hidden="1">'ROI'!$B$43</definedName>
    <definedName name="solver_lhs6" localSheetId="6" hidden="1">'ROI'!$B$43</definedName>
    <definedName name="solver_lin" localSheetId="6" hidden="1">2</definedName>
    <definedName name="solver_mip" localSheetId="6" hidden="1">2147483647</definedName>
    <definedName name="solver_mni" localSheetId="6" hidden="1">30</definedName>
    <definedName name="solver_mrt" localSheetId="6" hidden="1">0.075</definedName>
    <definedName name="solver_msl" localSheetId="6" hidden="1">2</definedName>
    <definedName name="solver_neg" localSheetId="6" hidden="1">1</definedName>
    <definedName name="solver_nod" localSheetId="6" hidden="1">2147483647</definedName>
    <definedName name="solver_num" localSheetId="6" hidden="1">6</definedName>
    <definedName name="solver_opt" localSheetId="6" hidden="1">'ROI'!$D$45</definedName>
    <definedName name="solver_pre" localSheetId="6" hidden="1">0.000001</definedName>
    <definedName name="solver_rbv" localSheetId="6" hidden="1">1</definedName>
    <definedName name="solver_rel1" localSheetId="6" hidden="1">1</definedName>
    <definedName name="solver_rel2" localSheetId="6" hidden="1">3</definedName>
    <definedName name="solver_rel3" localSheetId="6" hidden="1">1</definedName>
    <definedName name="solver_rel4" localSheetId="6" hidden="1">3</definedName>
    <definedName name="solver_rel5" localSheetId="6" hidden="1">1</definedName>
    <definedName name="solver_rel6" localSheetId="6" hidden="1">3</definedName>
    <definedName name="solver_rhs1" localSheetId="6" hidden="1">150000</definedName>
    <definedName name="solver_rhs2" localSheetId="6" hidden="1">90000</definedName>
    <definedName name="solver_rhs3" localSheetId="6" hidden="1">150000</definedName>
    <definedName name="solver_rhs4" localSheetId="6" hidden="1">90000</definedName>
    <definedName name="solver_rhs5" localSheetId="6" hidden="1">150000</definedName>
    <definedName name="solver_rhs6" localSheetId="6" hidden="1">90000</definedName>
    <definedName name="solver_rlx" localSheetId="6" hidden="1">2</definedName>
    <definedName name="solver_rsd" localSheetId="6" hidden="1">0</definedName>
    <definedName name="solver_scl" localSheetId="6" hidden="1">1</definedName>
    <definedName name="solver_sho" localSheetId="6" hidden="1">2</definedName>
    <definedName name="solver_ssz" localSheetId="6" hidden="1">100</definedName>
    <definedName name="solver_tim" localSheetId="6" hidden="1">2147483647</definedName>
    <definedName name="solver_tol" localSheetId="6" hidden="1">0.01</definedName>
    <definedName name="solver_typ" localSheetId="6" hidden="1">1</definedName>
    <definedName name="solver_val" localSheetId="6" hidden="1">0</definedName>
    <definedName name="solver_ver" localSheetId="6" hidden="1">2</definedName>
  </definedNames>
  <calcPr fullCalcOnLoad="1"/>
</workbook>
</file>

<file path=xl/sharedStrings.xml><?xml version="1.0" encoding="utf-8"?>
<sst xmlns="http://schemas.openxmlformats.org/spreadsheetml/2006/main" count="467" uniqueCount="169">
  <si>
    <t>Month</t>
  </si>
  <si>
    <t>Formulary_Status</t>
  </si>
  <si>
    <t>Comp_DTC_TV</t>
  </si>
  <si>
    <t>Nov_Ind</t>
  </si>
  <si>
    <t>Dec_ind</t>
  </si>
  <si>
    <t>TV</t>
  </si>
  <si>
    <t>PDEs</t>
  </si>
  <si>
    <t>DTC_Display</t>
  </si>
  <si>
    <t>UR</t>
  </si>
  <si>
    <t>Sales</t>
  </si>
  <si>
    <t>MIN</t>
  </si>
  <si>
    <t>MEAN</t>
  </si>
  <si>
    <t>MEDIAN</t>
  </si>
  <si>
    <t>MAX</t>
  </si>
  <si>
    <t>STD</t>
  </si>
  <si>
    <t>Formulary_Status</t>
  </si>
  <si>
    <t>Com_DTC_TV</t>
  </si>
  <si>
    <t>TV</t>
  </si>
  <si>
    <t>PDEs</t>
  </si>
  <si>
    <t>DTC_Display</t>
  </si>
  <si>
    <t>UR</t>
  </si>
  <si>
    <t>Sales</t>
  </si>
  <si>
    <t>Spend $</t>
  </si>
  <si>
    <t>Share of spend</t>
  </si>
  <si>
    <t>GRP</t>
  </si>
  <si>
    <t xml:space="preserve">Assume fair share </t>
  </si>
  <si>
    <r>
      <t xml:space="preserve">Average monthly sales contribution assuming marketing drives overalll </t>
    </r>
    <r>
      <rPr>
        <b/>
        <u val="single"/>
        <sz val="10"/>
        <rFont val="MS Sans Serif"/>
        <family val="0"/>
      </rPr>
      <t>25%</t>
    </r>
    <r>
      <rPr>
        <sz val="10"/>
        <rFont val="MS Sans Serif"/>
        <family val="0"/>
      </rPr>
      <t xml:space="preserve"> of sales</t>
    </r>
  </si>
  <si>
    <r>
      <t>Average monthly sales contribution assuming marketing drives overalll 50</t>
    </r>
    <r>
      <rPr>
        <b/>
        <u val="single"/>
        <sz val="10"/>
        <rFont val="MS Sans Serif"/>
        <family val="0"/>
      </rPr>
      <t>%</t>
    </r>
    <r>
      <rPr>
        <sz val="10"/>
        <rFont val="MS Sans Serif"/>
        <family val="0"/>
      </rPr>
      <t xml:space="preserve"> of sales</t>
    </r>
  </si>
  <si>
    <t>Power 0.3</t>
  </si>
  <si>
    <t>Power 0.5</t>
  </si>
  <si>
    <t>Power 0.7</t>
  </si>
  <si>
    <t>Power 0.9</t>
  </si>
  <si>
    <t>Min</t>
  </si>
  <si>
    <t>Max</t>
  </si>
  <si>
    <r>
      <t xml:space="preserve">Assume power 0.1, 0.3,0.5, 0.7,0.9 and calculate </t>
    </r>
    <r>
      <rPr>
        <b/>
        <sz val="10"/>
        <rFont val="MS Sans Serif"/>
        <family val="0"/>
      </rPr>
      <t>estimated betas</t>
    </r>
    <r>
      <rPr>
        <sz val="10"/>
        <rFont val="MS Sans Serif"/>
        <family val="0"/>
      </rPr>
      <t xml:space="preserve"> to achive target contributions</t>
    </r>
  </si>
  <si>
    <t>Power 0.1</t>
  </si>
  <si>
    <t>Model Coeffcients</t>
  </si>
  <si>
    <t>B_TV</t>
  </si>
  <si>
    <t>P_TV</t>
  </si>
  <si>
    <t>B_PDEs</t>
  </si>
  <si>
    <t>Gross Profit Margin</t>
  </si>
  <si>
    <t>Cost Per Unit of Marketing</t>
  </si>
  <si>
    <t>Units</t>
  </si>
  <si>
    <t>Cost Per Unit</t>
  </si>
  <si>
    <t>PDEs</t>
  </si>
  <si>
    <t>DTC_Display</t>
  </si>
  <si>
    <t>COUNT</t>
  </si>
  <si>
    <t>IMPRESSIONS</t>
  </si>
  <si>
    <t>Profit Curves (1000's)</t>
  </si>
  <si>
    <t>Investment (1000s of $)</t>
  </si>
  <si>
    <t>yhat</t>
  </si>
  <si>
    <t>yhat</t>
  </si>
  <si>
    <t>resid</t>
  </si>
  <si>
    <t>resid</t>
  </si>
  <si>
    <t>TV</t>
  </si>
  <si>
    <t>Marginal ROI</t>
  </si>
  <si>
    <t>MROI=1</t>
  </si>
  <si>
    <t>B_TV</t>
  </si>
  <si>
    <t>P_TV</t>
  </si>
  <si>
    <t>B_PDEs</t>
  </si>
  <si>
    <t>B_DTC_Display</t>
  </si>
  <si>
    <t>Base</t>
  </si>
  <si>
    <t xml:space="preserve">TV </t>
  </si>
  <si>
    <t>PDEs</t>
  </si>
  <si>
    <t>Total</t>
  </si>
  <si>
    <t>Total</t>
  </si>
  <si>
    <t>sales</t>
  </si>
  <si>
    <t>Holdout Diagnostics</t>
  </si>
  <si>
    <t>Month</t>
  </si>
  <si>
    <t>Dec_Ind</t>
  </si>
  <si>
    <t>01Jan201</t>
  </si>
  <si>
    <t>01Feb201</t>
  </si>
  <si>
    <t>01Mar201</t>
  </si>
  <si>
    <t>01Apr201</t>
  </si>
  <si>
    <t>01May201</t>
  </si>
  <si>
    <t>01Jun201</t>
  </si>
  <si>
    <t>01Jul201</t>
  </si>
  <si>
    <t>01Aug201</t>
  </si>
  <si>
    <t>01Sep201</t>
  </si>
  <si>
    <t>01Oct201</t>
  </si>
  <si>
    <t>01Nov201</t>
  </si>
  <si>
    <t>01Dec201</t>
  </si>
  <si>
    <t>MAPE</t>
  </si>
  <si>
    <t>Calculate MAPE</t>
  </si>
  <si>
    <t>MAPE=</t>
  </si>
  <si>
    <t>Full-Model</t>
  </si>
  <si>
    <t>Obs</t>
  </si>
  <si>
    <t>stdresidual</t>
  </si>
  <si>
    <t>.</t>
  </si>
  <si>
    <t>Sales</t>
  </si>
  <si>
    <t>Investment</t>
  </si>
  <si>
    <t>Units Purchased</t>
  </si>
  <si>
    <t>Profit (1000's)</t>
  </si>
  <si>
    <t>PDEs</t>
  </si>
  <si>
    <t>DTC_Display</t>
  </si>
  <si>
    <t>Microsoft Excel 15.14 运算结果报告</t>
  </si>
  <si>
    <t>工作表: [MarkEff_Pharma_Data_Raw-2.xls]ROI</t>
  </si>
  <si>
    <t>报告的建立: 2016/3/27 3:50:51 下午</t>
  </si>
  <si>
    <t>结果: 规划求解找到一解，可满足所有的约束及最优状况。</t>
  </si>
  <si>
    <t>规划求解引擎</t>
  </si>
  <si>
    <t>引擎: 非线性 GRG</t>
  </si>
  <si>
    <t>求解时间: 0.206714 秒。</t>
  </si>
  <si>
    <t>迭代次数: 4 子问题: 0</t>
  </si>
  <si>
    <t>规划求解选项</t>
  </si>
  <si>
    <t>最大时间 无限制,  迭代 无限制, Precision 1E-06, 使用自动缩放</t>
  </si>
  <si>
    <t xml:space="preserve"> 收敛 0.0001, 总体大小 100, 随机种子 0, 向前派生, 需要界限</t>
  </si>
  <si>
    <t>最大子问题数目 无限制, 最大整数解数目 无限制, 整数允许误差 1%, 假设为非负数</t>
  </si>
  <si>
    <t>目标单元格 (最大值)</t>
  </si>
  <si>
    <t>单元格</t>
  </si>
  <si>
    <t>名称</t>
  </si>
  <si>
    <t>初值</t>
  </si>
  <si>
    <t>终值</t>
  </si>
  <si>
    <t>可变单元格</t>
  </si>
  <si>
    <t>整数</t>
  </si>
  <si>
    <t>约束</t>
  </si>
  <si>
    <t>单元格值</t>
  </si>
  <si>
    <t>公式</t>
  </si>
  <si>
    <t>状态</t>
  </si>
  <si>
    <t>型数值</t>
  </si>
  <si>
    <t>$D$28</t>
  </si>
  <si>
    <t>Total Profit (1000's)</t>
  </si>
  <si>
    <t>$B$24</t>
  </si>
  <si>
    <t>TV Investment</t>
  </si>
  <si>
    <t>$B$25</t>
  </si>
  <si>
    <t>PDEs Investment</t>
  </si>
  <si>
    <t>$B$26</t>
  </si>
  <si>
    <t>DTC_Display Investment</t>
  </si>
  <si>
    <t>$B$28</t>
  </si>
  <si>
    <t>Total Investment</t>
  </si>
  <si>
    <t>$B$28&lt;=360000</t>
  </si>
  <si>
    <t>到达限制值</t>
  </si>
  <si>
    <t>$B$24&lt;=360000</t>
  </si>
  <si>
    <t>未到限制值</t>
  </si>
  <si>
    <t>$B$25&lt;=360000</t>
  </si>
  <si>
    <t>$B$26&lt;=360000</t>
  </si>
  <si>
    <t>报告的建立: 2016/3/27 4:00:34 下午</t>
  </si>
  <si>
    <t>求解时间: 0.218903 秒。</t>
  </si>
  <si>
    <t>$D$37</t>
  </si>
  <si>
    <t>$B$33</t>
  </si>
  <si>
    <t>$B$34</t>
  </si>
  <si>
    <t>$B$35</t>
  </si>
  <si>
    <t>$B$37</t>
  </si>
  <si>
    <t>$B$37&lt;=600000</t>
  </si>
  <si>
    <t>$B$33&lt;=600000</t>
  </si>
  <si>
    <t>$B$34&lt;=600000</t>
  </si>
  <si>
    <t>$B$35&lt;=600000</t>
  </si>
  <si>
    <t>最大时间 无限制,  迭代 无限制, Precision 0.000001, 使用自动缩放</t>
  </si>
  <si>
    <t>$D$45</t>
  </si>
  <si>
    <t>$B$41</t>
  </si>
  <si>
    <t>$B$42</t>
  </si>
  <si>
    <t>$B$43</t>
  </si>
  <si>
    <t>$B$41&lt;=150000</t>
  </si>
  <si>
    <t>$B$41&gt;=90000</t>
  </si>
  <si>
    <t>$B$42&lt;=150000</t>
  </si>
  <si>
    <t>$B$42&gt;=90000</t>
  </si>
  <si>
    <t>$B$43&lt;=150000</t>
  </si>
  <si>
    <t>$B$43&gt;=90000</t>
  </si>
  <si>
    <t>报告的建立: 2016/3/27 4:19:51 下午</t>
  </si>
  <si>
    <t>求解时间: 0.203169 秒。</t>
  </si>
  <si>
    <t>TV</t>
  </si>
  <si>
    <t>SPEND</t>
  </si>
  <si>
    <t>RETURN</t>
  </si>
  <si>
    <t>RETURN GP</t>
  </si>
  <si>
    <t>GP ROI</t>
  </si>
  <si>
    <t>PDES</t>
  </si>
  <si>
    <t>DISPLAY</t>
  </si>
  <si>
    <t>Total</t>
  </si>
  <si>
    <t>Investment</t>
  </si>
  <si>
    <t>PDEs</t>
  </si>
</sst>
</file>

<file path=xl/styles.xml><?xml version="1.0" encoding="utf-8"?>
<styleSheet xmlns="http://schemas.openxmlformats.org/spreadsheetml/2006/main">
  <numFmts count="29">
    <numFmt numFmtId="5" formatCode="&quot;US$&quot;#,##0_);\(&quot;US$&quot;#,##0\)"/>
    <numFmt numFmtId="6" formatCode="&quot;US$&quot;#,##0_);[Red]\(&quot;US$&quot;#,##0\)"/>
    <numFmt numFmtId="7" formatCode="&quot;US$&quot;#,##0.00_);\(&quot;US$&quot;#,##0.00\)"/>
    <numFmt numFmtId="8" formatCode="&quot;US$&quot;#,##0.00_);[Red]\(&quot;US$&quot;#,##0.00\)"/>
    <numFmt numFmtId="42" formatCode="_(&quot;US$&quot;* #,##0_);_(&quot;US$&quot;* \(#,##0\);_(&quot;US$&quot;* &quot;-&quot;_);_(@_)"/>
    <numFmt numFmtId="41" formatCode="_(* #,##0_);_(* \(#,##0\);_(* &quot;-&quot;_);_(@_)"/>
    <numFmt numFmtId="44" formatCode="_(&quot;US$&quot;* #,##0.00_);_(&quot;US$&quot;* \(#,##0.00\);_(&quot;US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000_ "/>
    <numFmt numFmtId="183" formatCode="0.0000_);[Red]\(0.0000\)"/>
    <numFmt numFmtId="184" formatCode="0.000_);[Red]\(0.000\)"/>
    <numFmt numFmtId="185" formatCode="_(&quot;$&quot;* #,##0_);_(&quot;$&quot;* \(#,##0\);_(&quot;$&quot;* &quot;-&quot;??_);_(@_)"/>
    <numFmt numFmtId="186" formatCode="0.0"/>
    <numFmt numFmtId="187" formatCode="0.00_ "/>
    <numFmt numFmtId="188" formatCode="0.000_ "/>
    <numFmt numFmtId="189" formatCode="0.00_);[Red]\(0.00\)"/>
    <numFmt numFmtId="190" formatCode="0.000"/>
    <numFmt numFmtId="191" formatCode="_(* #,##0_);_(* \(#,##0\);_(* &quot;-&quot;??_);_(@_)"/>
    <numFmt numFmtId="192" formatCode="\$#,##0.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MS Sans Serif"/>
      <family val="0"/>
    </font>
    <font>
      <b/>
      <u val="single"/>
      <sz val="10"/>
      <name val="MS Sans Serif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14"/>
      <color indexed="63"/>
      <name val="宋体"/>
      <family val="0"/>
    </font>
    <font>
      <b/>
      <sz val="10"/>
      <color indexed="18"/>
      <name val="MS Sans Serif"/>
      <family val="0"/>
    </font>
    <font>
      <b/>
      <sz val="7.5"/>
      <name val="MS Sans Serif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14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4"/>
      <color indexed="63"/>
      <name val="Calibri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0" borderId="4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8" borderId="5" applyNumberFormat="0" applyAlignment="0" applyProtection="0"/>
    <xf numFmtId="0" fontId="41" fillId="29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28" borderId="8" applyNumberFormat="0" applyAlignment="0" applyProtection="0"/>
    <xf numFmtId="0" fontId="47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ill="1" applyBorder="1" applyAlignment="1">
      <alignment/>
    </xf>
    <xf numFmtId="184" fontId="0" fillId="0" borderId="16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1" fillId="0" borderId="0" xfId="0" applyNumberFormat="1" applyFont="1" applyBorder="1" applyAlignment="1">
      <alignment/>
    </xf>
    <xf numFmtId="184" fontId="0" fillId="0" borderId="18" xfId="0" applyNumberFormat="1" applyBorder="1" applyAlignment="1">
      <alignment/>
    </xf>
    <xf numFmtId="184" fontId="0" fillId="0" borderId="19" xfId="0" applyNumberFormat="1" applyBorder="1" applyAlignment="1">
      <alignment/>
    </xf>
    <xf numFmtId="0" fontId="0" fillId="0" borderId="16" xfId="0" applyBorder="1" applyAlignment="1">
      <alignment/>
    </xf>
    <xf numFmtId="185" fontId="0" fillId="0" borderId="16" xfId="49" applyNumberFormat="1" applyFont="1" applyBorder="1" applyAlignment="1">
      <alignment/>
    </xf>
    <xf numFmtId="185" fontId="0" fillId="0" borderId="20" xfId="49" applyNumberFormat="1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Border="1" applyAlignment="1">
      <alignment/>
    </xf>
    <xf numFmtId="9" fontId="0" fillId="0" borderId="18" xfId="33" applyFont="1" applyBorder="1" applyAlignment="1">
      <alignment/>
    </xf>
    <xf numFmtId="9" fontId="0" fillId="0" borderId="19" xfId="33" applyFont="1" applyBorder="1" applyAlignment="1">
      <alignment/>
    </xf>
    <xf numFmtId="2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9" fontId="0" fillId="0" borderId="14" xfId="0" applyNumberForma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9" fontId="1" fillId="0" borderId="12" xfId="33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Alignment="1">
      <alignment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Alignment="1">
      <alignment/>
    </xf>
    <xf numFmtId="0" fontId="1" fillId="33" borderId="21" xfId="0" applyFont="1" applyFill="1" applyBorder="1" applyAlignment="1">
      <alignment/>
    </xf>
    <xf numFmtId="0" fontId="1" fillId="33" borderId="0" xfId="0" applyFont="1" applyFill="1" applyAlignment="1">
      <alignment/>
    </xf>
    <xf numFmtId="185" fontId="0" fillId="0" borderId="21" xfId="49" applyNumberFormat="1" applyFont="1" applyBorder="1" applyAlignment="1">
      <alignment/>
    </xf>
    <xf numFmtId="181" fontId="0" fillId="0" borderId="0" xfId="49" applyFont="1" applyAlignment="1">
      <alignment/>
    </xf>
    <xf numFmtId="190" fontId="0" fillId="0" borderId="0" xfId="0" applyNumberFormat="1" applyAlignment="1">
      <alignment/>
    </xf>
    <xf numFmtId="191" fontId="1" fillId="0" borderId="0" xfId="56" applyNumberFormat="1" applyFont="1" applyAlignment="1">
      <alignment/>
    </xf>
    <xf numFmtId="185" fontId="1" fillId="0" borderId="0" xfId="49" applyNumberFormat="1" applyFont="1" applyAlignment="1">
      <alignment/>
    </xf>
    <xf numFmtId="181" fontId="0" fillId="0" borderId="21" xfId="49" applyFont="1" applyBorder="1" applyAlignment="1">
      <alignment/>
    </xf>
    <xf numFmtId="190" fontId="0" fillId="0" borderId="21" xfId="0" applyNumberFormat="1" applyBorder="1" applyAlignment="1">
      <alignment/>
    </xf>
    <xf numFmtId="185" fontId="0" fillId="0" borderId="21" xfId="0" applyNumberFormat="1" applyBorder="1" applyAlignment="1">
      <alignment/>
    </xf>
    <xf numFmtId="43" fontId="0" fillId="0" borderId="21" xfId="0" applyNumberFormat="1" applyBorder="1" applyAlignment="1">
      <alignment/>
    </xf>
    <xf numFmtId="192" fontId="0" fillId="0" borderId="21" xfId="49" applyNumberFormat="1" applyFont="1" applyBorder="1" applyAlignment="1">
      <alignment/>
    </xf>
    <xf numFmtId="0" fontId="0" fillId="0" borderId="28" xfId="0" applyFill="1" applyBorder="1" applyAlignment="1">
      <alignment/>
    </xf>
    <xf numFmtId="0" fontId="11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185" fontId="0" fillId="0" borderId="28" xfId="0" applyNumberFormat="1" applyFill="1" applyBorder="1" applyAlignment="1">
      <alignment/>
    </xf>
    <xf numFmtId="185" fontId="0" fillId="0" borderId="30" xfId="0" applyNumberFormat="1" applyFill="1" applyBorder="1" applyAlignment="1">
      <alignment/>
    </xf>
    <xf numFmtId="185" fontId="0" fillId="0" borderId="0" xfId="0" applyNumberFormat="1" applyAlignment="1">
      <alignment/>
    </xf>
    <xf numFmtId="191" fontId="0" fillId="0" borderId="30" xfId="0" applyNumberFormat="1" applyFill="1" applyBorder="1" applyAlignment="1">
      <alignment/>
    </xf>
    <xf numFmtId="43" fontId="0" fillId="0" borderId="0" xfId="0" applyNumberFormat="1" applyAlignment="1">
      <alignment/>
    </xf>
    <xf numFmtId="0" fontId="0" fillId="34" borderId="21" xfId="0" applyFill="1" applyBorder="1" applyAlignment="1">
      <alignment/>
    </xf>
    <xf numFmtId="187" fontId="0" fillId="0" borderId="21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12" fillId="33" borderId="0" xfId="0" applyFont="1" applyFill="1" applyBorder="1" applyAlignment="1">
      <alignment/>
    </xf>
  </cellXfs>
  <cellStyles count="49">
    <cellStyle name="Normal" xfId="0"/>
    <cellStyle name="20%-个性色1" xfId="15"/>
    <cellStyle name="20%-个性色2" xfId="16"/>
    <cellStyle name="20%-个性色3" xfId="17"/>
    <cellStyle name="20%-个性色4" xfId="18"/>
    <cellStyle name="20%-个性色5" xfId="19"/>
    <cellStyle name="20%-个性色6" xfId="20"/>
    <cellStyle name="40%-个性色1" xfId="21"/>
    <cellStyle name="40%-个性色2" xfId="22"/>
    <cellStyle name="40%-个性色3" xfId="23"/>
    <cellStyle name="40%-个性色4" xfId="24"/>
    <cellStyle name="40%-个性色5" xfId="25"/>
    <cellStyle name="40%-个性色6" xfId="26"/>
    <cellStyle name="60%-个性色1" xfId="27"/>
    <cellStyle name="60%-个性色2" xfId="28"/>
    <cellStyle name="60%-个性色3" xfId="29"/>
    <cellStyle name="60%-个性色4" xfId="30"/>
    <cellStyle name="60%-个性色5" xfId="31"/>
    <cellStyle name="60%-个性色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个性色1" xfId="41"/>
    <cellStyle name="个性色2" xfId="42"/>
    <cellStyle name="个性色3" xfId="43"/>
    <cellStyle name="个性色4" xfId="44"/>
    <cellStyle name="个性色5" xfId="45"/>
    <cellStyle name="个性色6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AVP Chart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5"/>
          <c:y val="0.139"/>
          <c:w val="0.96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AVP_NLN_REG!$I$1</c:f>
              <c:strCache>
                <c:ptCount val="1"/>
                <c:pt idx="0">
                  <c:v>yhat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AVP_NLN_REG!$A$2:$A$49</c:f>
              <c:strCache/>
            </c:strRef>
          </c:cat>
          <c:val>
            <c:numRef>
              <c:f>AVP_NLN_REG!$I$2:$I$49</c:f>
              <c:numCache/>
            </c:numRef>
          </c:val>
          <c:smooth val="0"/>
        </c:ser>
        <c:ser>
          <c:idx val="2"/>
          <c:order val="1"/>
          <c:tx>
            <c:strRef>
              <c:f>AVP_NLN_REG!$K$1</c:f>
              <c:strCache>
                <c:ptCount val="1"/>
                <c:pt idx="0">
                  <c:v>sales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AVP_NLN_REG!$A$2:$A$49</c:f>
              <c:strCache/>
            </c:strRef>
          </c:cat>
          <c:val>
            <c:numRef>
              <c:f>AVP_NLN_REG!$K$2:$K$49</c:f>
              <c:numCache/>
            </c:numRef>
          </c:val>
          <c:smooth val="0"/>
        </c:ser>
        <c:marker val="1"/>
        <c:axId val="21019496"/>
        <c:axId val="54957737"/>
      </c:lineChart>
      <c:dateAx>
        <c:axId val="21019496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957737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49577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0194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5"/>
          <c:y val="0.8805"/>
          <c:w val="0.2775"/>
          <c:h val="0.0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Investment</a:t>
            </a:r>
          </a:p>
        </c:rich>
      </c:tx>
      <c:layout>
        <c:manualLayout>
          <c:xMode val="factor"/>
          <c:yMode val="factor"/>
          <c:x val="-0.005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5"/>
          <c:y val="0.1245"/>
          <c:w val="0.97225"/>
          <c:h val="0.82075"/>
        </c:manualLayout>
      </c:layout>
      <c:lineChart>
        <c:grouping val="standard"/>
        <c:varyColors val="0"/>
        <c:ser>
          <c:idx val="1"/>
          <c:order val="0"/>
          <c:tx>
            <c:strRef>
              <c:f>ROI!$N$2</c:f>
              <c:strCache>
                <c:ptCount val="1"/>
                <c:pt idx="0">
                  <c:v>TV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ROI!$N$3:$N$101</c:f>
              <c:numCache/>
            </c:numRef>
          </c:val>
          <c:smooth val="0"/>
        </c:ser>
        <c:ser>
          <c:idx val="2"/>
          <c:order val="1"/>
          <c:tx>
            <c:strRef>
              <c:f>ROI!$O$2</c:f>
              <c:strCache>
                <c:ptCount val="1"/>
                <c:pt idx="0">
                  <c:v>PDEs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ROI!$O$3:$O$101</c:f>
              <c:numCache/>
            </c:numRef>
          </c:val>
          <c:smooth val="0"/>
        </c:ser>
        <c:ser>
          <c:idx val="3"/>
          <c:order val="2"/>
          <c:tx>
            <c:strRef>
              <c:f>ROI!$P$2</c:f>
              <c:strCache>
                <c:ptCount val="1"/>
                <c:pt idx="0">
                  <c:v>DTC_Display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ROI!$P$3:$P$101</c:f>
              <c:numCache/>
            </c:numRef>
          </c:val>
          <c:smooth val="0"/>
        </c:ser>
        <c:marker val="1"/>
        <c:axId val="24857586"/>
        <c:axId val="22391683"/>
      </c:lineChart>
      <c:catAx>
        <c:axId val="248575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391683"/>
        <c:crosses val="autoZero"/>
        <c:auto val="1"/>
        <c:lblOffset val="100"/>
        <c:tickLblSkip val="3"/>
        <c:noMultiLvlLbl val="0"/>
      </c:catAx>
      <c:valAx>
        <c:axId val="223916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8575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MROI Investment</a:t>
            </a:r>
          </a:p>
        </c:rich>
      </c:tx>
      <c:layout>
        <c:manualLayout>
          <c:xMode val="factor"/>
          <c:yMode val="factor"/>
          <c:x val="-0.002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125"/>
          <c:y val="0.116"/>
          <c:w val="0.9715"/>
          <c:h val="0.89325"/>
        </c:manualLayout>
      </c:layout>
      <c:lineChart>
        <c:grouping val="standard"/>
        <c:varyColors val="0"/>
        <c:ser>
          <c:idx val="1"/>
          <c:order val="0"/>
          <c:tx>
            <c:strRef>
              <c:f>ROI!$Y$2</c:f>
              <c:strCache>
                <c:ptCount val="1"/>
                <c:pt idx="0">
                  <c:v>TV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ROI!$Y$3:$Y$101</c:f>
              <c:numCache/>
            </c:numRef>
          </c:val>
          <c:smooth val="0"/>
        </c:ser>
        <c:ser>
          <c:idx val="2"/>
          <c:order val="1"/>
          <c:tx>
            <c:strRef>
              <c:f>ROI!$Z$2</c:f>
              <c:strCache>
                <c:ptCount val="1"/>
                <c:pt idx="0">
                  <c:v>PDEs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ROI!$Z$3:$Z$101</c:f>
              <c:numCache/>
            </c:numRef>
          </c:val>
          <c:smooth val="0"/>
        </c:ser>
        <c:ser>
          <c:idx val="3"/>
          <c:order val="2"/>
          <c:tx>
            <c:strRef>
              <c:f>ROI!$AA$2</c:f>
              <c:strCache>
                <c:ptCount val="1"/>
                <c:pt idx="0">
                  <c:v>DTC_Display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ROI!$AA$3:$AA$101</c:f>
              <c:numCache/>
            </c:numRef>
          </c:val>
          <c:smooth val="0"/>
        </c:ser>
        <c:ser>
          <c:idx val="4"/>
          <c:order val="3"/>
          <c:tx>
            <c:strRef>
              <c:f>ROI!$AB$2</c:f>
              <c:strCache>
                <c:ptCount val="1"/>
                <c:pt idx="0">
                  <c:v>MROI=1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ROI!$AB$3:$AB$101</c:f>
              <c:numCache/>
            </c:numRef>
          </c:val>
          <c:smooth val="0"/>
        </c:ser>
        <c:marker val="1"/>
        <c:axId val="198556"/>
        <c:axId val="1787005"/>
      </c:lineChart>
      <c:catAx>
        <c:axId val="1985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87005"/>
        <c:crosses val="autoZero"/>
        <c:auto val="1"/>
        <c:lblOffset val="100"/>
        <c:tickLblSkip val="3"/>
        <c:noMultiLvlLbl val="0"/>
      </c:catAx>
      <c:valAx>
        <c:axId val="17870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85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 Contribution Chart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5"/>
          <c:y val="0.139"/>
          <c:w val="0.9565"/>
          <c:h val="0.85775"/>
        </c:manualLayout>
      </c:layout>
      <c:areaChart>
        <c:grouping val="stacked"/>
        <c:varyColors val="0"/>
        <c:ser>
          <c:idx val="0"/>
          <c:order val="0"/>
          <c:tx>
            <c:strRef>
              <c:f>Contributions!$O$1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Contributions!$A$2:$A$49</c:f>
              <c:strCache/>
            </c:strRef>
          </c:cat>
          <c:val>
            <c:numRef>
              <c:f>Contributions!$O$2:$O$49</c:f>
              <c:numCache/>
            </c:numRef>
          </c:val>
        </c:ser>
        <c:ser>
          <c:idx val="1"/>
          <c:order val="1"/>
          <c:tx>
            <c:strRef>
              <c:f>Contributions!$P$1</c:f>
              <c:strCache>
                <c:ptCount val="1"/>
                <c:pt idx="0">
                  <c:v>TV 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Contributions!$A$2:$A$49</c:f>
              <c:strCache/>
            </c:strRef>
          </c:cat>
          <c:val>
            <c:numRef>
              <c:f>Contributions!$P$2:$P$49</c:f>
              <c:numCache/>
            </c:numRef>
          </c:val>
        </c:ser>
        <c:ser>
          <c:idx val="2"/>
          <c:order val="2"/>
          <c:tx>
            <c:strRef>
              <c:f>Contributions!$Q$1</c:f>
              <c:strCache>
                <c:ptCount val="1"/>
                <c:pt idx="0">
                  <c:v>PDEs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Contributions!$A$2:$A$49</c:f>
              <c:strCache/>
            </c:strRef>
          </c:cat>
          <c:val>
            <c:numRef>
              <c:f>Contributions!$Q$2:$Q$49</c:f>
              <c:numCache/>
            </c:numRef>
          </c:val>
        </c:ser>
        <c:ser>
          <c:idx val="3"/>
          <c:order val="3"/>
          <c:tx>
            <c:strRef>
              <c:f>Contributions!$R$1</c:f>
              <c:strCache>
                <c:ptCount val="1"/>
                <c:pt idx="0">
                  <c:v>DTC_Display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Contributions!$A$2:$A$49</c:f>
              <c:strCache/>
            </c:strRef>
          </c:cat>
          <c:val>
            <c:numRef>
              <c:f>Contributions!$R$2:$R$49</c:f>
              <c:numCache/>
            </c:numRef>
          </c:val>
        </c:ser>
        <c:axId val="16083046"/>
        <c:axId val="10529687"/>
      </c:areaChart>
      <c:dateAx>
        <c:axId val="1608304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529687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05296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08304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28275"/>
          <c:y val="0.17475"/>
          <c:w val="0.42625"/>
          <c:h val="0.6442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Contributions!$O$1:$R$1</c:f>
              <c:strCache/>
            </c:strRef>
          </c:cat>
          <c:val>
            <c:numRef>
              <c:f>Contributions!$O$51:$R$51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475"/>
          <c:y val="0.89475"/>
          <c:w val="0.4475"/>
          <c:h val="0.0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75"/>
          <c:y val="0.12625"/>
          <c:w val="0.9675"/>
          <c:h val="0.857"/>
        </c:manualLayout>
      </c:layout>
      <c:lineChart>
        <c:grouping val="standard"/>
        <c:varyColors val="0"/>
        <c:ser>
          <c:idx val="0"/>
          <c:order val="0"/>
          <c:tx>
            <c:strRef>
              <c:f>Diagnostics!$BI$1</c:f>
              <c:strCache>
                <c:ptCount val="1"/>
                <c:pt idx="0">
                  <c:v>Sales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Diagnostics!$BH$2:$BH$49</c:f>
              <c:strCache/>
            </c:strRef>
          </c:cat>
          <c:val>
            <c:numRef>
              <c:f>Diagnostics!$BI$2:$BI$49</c:f>
              <c:numCache/>
            </c:numRef>
          </c:val>
          <c:smooth val="0"/>
        </c:ser>
        <c:ser>
          <c:idx val="1"/>
          <c:order val="1"/>
          <c:tx>
            <c:strRef>
              <c:f>Diagnostics!$BJ$1</c:f>
              <c:strCache>
                <c:ptCount val="1"/>
                <c:pt idx="0">
                  <c:v>yhat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Diagnostics!$BH$2:$BH$49</c:f>
              <c:strCache/>
            </c:strRef>
          </c:cat>
          <c:val>
            <c:numRef>
              <c:f>Diagnostics!$BJ$2:$BJ$49</c:f>
              <c:numCache/>
            </c:numRef>
          </c:val>
          <c:smooth val="0"/>
        </c:ser>
        <c:marker val="1"/>
        <c:axId val="27658320"/>
        <c:axId val="47598289"/>
      </c:lineChart>
      <c:catAx>
        <c:axId val="27658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598289"/>
        <c:crosses val="autoZero"/>
        <c:auto val="1"/>
        <c:lblOffset val="100"/>
        <c:tickLblSkip val="2"/>
        <c:noMultiLvlLbl val="0"/>
      </c:catAx>
      <c:valAx>
        <c:axId val="475982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658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75"/>
          <c:y val="0.1055"/>
          <c:w val="0.98175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Diagnostics!$AM$1</c:f>
              <c:strCache>
                <c:ptCount val="1"/>
                <c:pt idx="0">
                  <c:v>Sales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Diagnostics!$AL$2:$AL$88</c:f>
              <c:strCache/>
            </c:strRef>
          </c:cat>
          <c:val>
            <c:numRef>
              <c:f>Diagnostics!$AM$2:$AM$88</c:f>
              <c:numCache/>
            </c:numRef>
          </c:val>
          <c:smooth val="0"/>
        </c:ser>
        <c:ser>
          <c:idx val="1"/>
          <c:order val="1"/>
          <c:tx>
            <c:strRef>
              <c:f>Diagnostics!$AN$1</c:f>
              <c:strCache>
                <c:ptCount val="1"/>
                <c:pt idx="0">
                  <c:v>yhat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Diagnostics!$AL$2:$AL$88</c:f>
              <c:strCache/>
            </c:strRef>
          </c:cat>
          <c:val>
            <c:numRef>
              <c:f>Diagnostics!$AN$2:$AN$88</c:f>
              <c:numCache/>
            </c:numRef>
          </c:val>
          <c:smooth val="0"/>
        </c:ser>
        <c:marker val="1"/>
        <c:axId val="25731418"/>
        <c:axId val="30256171"/>
      </c:lineChart>
      <c:dateAx>
        <c:axId val="2573141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25617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02561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7314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25"/>
          <c:y val="0.913"/>
          <c:w val="0.2352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9</xdr:row>
      <xdr:rowOff>152400</xdr:rowOff>
    </xdr:from>
    <xdr:to>
      <xdr:col>18</xdr:col>
      <xdr:colOff>190500</xdr:colOff>
      <xdr:row>26</xdr:row>
      <xdr:rowOff>85725</xdr:rowOff>
    </xdr:to>
    <xdr:graphicFrame>
      <xdr:nvGraphicFramePr>
        <xdr:cNvPr id="1" name="图表 5"/>
        <xdr:cNvGraphicFramePr/>
      </xdr:nvGraphicFramePr>
      <xdr:xfrm>
        <a:off x="8924925" y="1609725"/>
        <a:ext cx="49815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8</xdr:row>
      <xdr:rowOff>152400</xdr:rowOff>
    </xdr:from>
    <xdr:to>
      <xdr:col>22</xdr:col>
      <xdr:colOff>733425</xdr:colOff>
      <xdr:row>30</xdr:row>
      <xdr:rowOff>66675</xdr:rowOff>
    </xdr:to>
    <xdr:graphicFrame>
      <xdr:nvGraphicFramePr>
        <xdr:cNvPr id="1" name="图表 1"/>
        <xdr:cNvGraphicFramePr/>
      </xdr:nvGraphicFramePr>
      <xdr:xfrm>
        <a:off x="14020800" y="1466850"/>
        <a:ext cx="50863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66675</xdr:colOff>
      <xdr:row>7</xdr:row>
      <xdr:rowOff>161925</xdr:rowOff>
    </xdr:from>
    <xdr:to>
      <xdr:col>35</xdr:col>
      <xdr:colOff>514350</xdr:colOff>
      <xdr:row>27</xdr:row>
      <xdr:rowOff>38100</xdr:rowOff>
    </xdr:to>
    <xdr:graphicFrame>
      <xdr:nvGraphicFramePr>
        <xdr:cNvPr id="2" name="图表 2"/>
        <xdr:cNvGraphicFramePr/>
      </xdr:nvGraphicFramePr>
      <xdr:xfrm>
        <a:off x="23822025" y="1304925"/>
        <a:ext cx="501967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95250</xdr:colOff>
      <xdr:row>8</xdr:row>
      <xdr:rowOff>133350</xdr:rowOff>
    </xdr:from>
    <xdr:to>
      <xdr:col>26</xdr:col>
      <xdr:colOff>514350</xdr:colOff>
      <xdr:row>25</xdr:row>
      <xdr:rowOff>76200</xdr:rowOff>
    </xdr:to>
    <xdr:graphicFrame>
      <xdr:nvGraphicFramePr>
        <xdr:cNvPr id="1" name="图表 1"/>
        <xdr:cNvGraphicFramePr/>
      </xdr:nvGraphicFramePr>
      <xdr:xfrm>
        <a:off x="15278100" y="1428750"/>
        <a:ext cx="49911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428625</xdr:colOff>
      <xdr:row>28</xdr:row>
      <xdr:rowOff>76200</xdr:rowOff>
    </xdr:from>
    <xdr:to>
      <xdr:col>26</xdr:col>
      <xdr:colOff>85725</xdr:colOff>
      <xdr:row>45</xdr:row>
      <xdr:rowOff>9525</xdr:rowOff>
    </xdr:to>
    <xdr:graphicFrame>
      <xdr:nvGraphicFramePr>
        <xdr:cNvPr id="2" name="图表 2"/>
        <xdr:cNvGraphicFramePr/>
      </xdr:nvGraphicFramePr>
      <xdr:xfrm>
        <a:off x="14849475" y="4610100"/>
        <a:ext cx="49911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190500</xdr:colOff>
      <xdr:row>62</xdr:row>
      <xdr:rowOff>28575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0" cy="1006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419100</xdr:colOff>
      <xdr:row>2</xdr:row>
      <xdr:rowOff>0</xdr:rowOff>
    </xdr:from>
    <xdr:to>
      <xdr:col>23</xdr:col>
      <xdr:colOff>342900</xdr:colOff>
      <xdr:row>36</xdr:row>
      <xdr:rowOff>95250</xdr:rowOff>
    </xdr:to>
    <xdr:pic>
      <xdr:nvPicPr>
        <xdr:cNvPr id="2" name="图片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63100" y="323850"/>
          <a:ext cx="8305800" cy="560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34</xdr:col>
      <xdr:colOff>695325</xdr:colOff>
      <xdr:row>34</xdr:row>
      <xdr:rowOff>95250</xdr:rowOff>
    </xdr:to>
    <xdr:pic>
      <xdr:nvPicPr>
        <xdr:cNvPr id="3" name="图片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0" y="0"/>
          <a:ext cx="8315325" cy="560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342900</xdr:colOff>
      <xdr:row>4</xdr:row>
      <xdr:rowOff>66675</xdr:rowOff>
    </xdr:from>
    <xdr:to>
      <xdr:col>69</xdr:col>
      <xdr:colOff>295275</xdr:colOff>
      <xdr:row>22</xdr:row>
      <xdr:rowOff>66675</xdr:rowOff>
    </xdr:to>
    <xdr:graphicFrame>
      <xdr:nvGraphicFramePr>
        <xdr:cNvPr id="4" name="图表 4"/>
        <xdr:cNvGraphicFramePr/>
      </xdr:nvGraphicFramePr>
      <xdr:xfrm>
        <a:off x="47453550" y="714375"/>
        <a:ext cx="528637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39</xdr:col>
      <xdr:colOff>666750</xdr:colOff>
      <xdr:row>2</xdr:row>
      <xdr:rowOff>28575</xdr:rowOff>
    </xdr:from>
    <xdr:to>
      <xdr:col>47</xdr:col>
      <xdr:colOff>495300</xdr:colOff>
      <xdr:row>23</xdr:row>
      <xdr:rowOff>152400</xdr:rowOff>
    </xdr:to>
    <xdr:graphicFrame>
      <xdr:nvGraphicFramePr>
        <xdr:cNvPr id="5" name="图表 5"/>
        <xdr:cNvGraphicFramePr/>
      </xdr:nvGraphicFramePr>
      <xdr:xfrm>
        <a:off x="30251400" y="352425"/>
        <a:ext cx="5924550" cy="3524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zoomScale="83" zoomScaleNormal="83" zoomScalePageLayoutView="0" workbookViewId="0" topLeftCell="A1">
      <selection activeCell="O4" sqref="O4"/>
    </sheetView>
  </sheetViews>
  <sheetFormatPr defaultColWidth="9.00390625" defaultRowHeight="12.75"/>
  <cols>
    <col min="1" max="1" width="9.8515625" style="0" bestFit="1" customWidth="1"/>
    <col min="2" max="2" width="13.421875" style="0" customWidth="1"/>
    <col min="3" max="3" width="15.57421875" style="0" customWidth="1"/>
    <col min="4" max="4" width="10.57421875" style="0" bestFit="1" customWidth="1"/>
    <col min="5" max="6" width="9.57421875" style="0" bestFit="1" customWidth="1"/>
    <col min="7" max="7" width="21.8515625" style="0" customWidth="1"/>
    <col min="8" max="8" width="15.140625" style="0" customWidth="1"/>
    <col min="9" max="10" width="9.00390625" style="0" customWidth="1"/>
    <col min="11" max="11" width="9.421875" style="0" bestFit="1" customWidth="1"/>
    <col min="12" max="12" width="10.00390625" style="0" bestFit="1" customWidth="1"/>
    <col min="13" max="15" width="10.421875" style="0" bestFit="1" customWidth="1"/>
  </cols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21</v>
      </c>
    </row>
    <row r="2" spans="1:15" ht="12.75">
      <c r="A2" s="1">
        <v>40544</v>
      </c>
      <c r="B2">
        <v>5</v>
      </c>
      <c r="C2">
        <v>150</v>
      </c>
      <c r="D2">
        <v>0</v>
      </c>
      <c r="E2">
        <v>0</v>
      </c>
      <c r="F2">
        <v>75</v>
      </c>
      <c r="G2">
        <v>25.7</v>
      </c>
      <c r="H2">
        <v>1.5055943710113566</v>
      </c>
      <c r="I2">
        <v>5.6000000000000005</v>
      </c>
      <c r="J2">
        <v>8.14</v>
      </c>
      <c r="K2" s="48">
        <f>J2*$L$2</f>
        <v>2442</v>
      </c>
      <c r="L2" s="49">
        <v>300</v>
      </c>
      <c r="M2">
        <f>SUM(F2:F49)</f>
        <v>3300</v>
      </c>
      <c r="N2">
        <f>SUM(G2:G49)</f>
        <v>816.9</v>
      </c>
      <c r="O2">
        <f>SUM(H2:H49)</f>
        <v>58.12037857462959</v>
      </c>
    </row>
    <row r="3" spans="1:15" ht="12.75">
      <c r="A3" s="1">
        <v>40575</v>
      </c>
      <c r="B3">
        <v>5.1</v>
      </c>
      <c r="C3">
        <v>450</v>
      </c>
      <c r="D3">
        <v>0</v>
      </c>
      <c r="E3">
        <v>0</v>
      </c>
      <c r="F3">
        <v>125</v>
      </c>
      <c r="G3">
        <v>13.8</v>
      </c>
      <c r="H3">
        <v>1.6457461718917568</v>
      </c>
      <c r="I3">
        <v>5.1000000000000005</v>
      </c>
      <c r="J3">
        <v>7.952</v>
      </c>
      <c r="K3" s="48">
        <f aca="true" t="shared" si="0" ref="K3:K49">J3*$L$2</f>
        <v>2385.6</v>
      </c>
      <c r="L3" s="49"/>
      <c r="M3">
        <f>M2*2500</f>
        <v>8250000</v>
      </c>
      <c r="N3">
        <f>N2*5500</f>
        <v>4492950</v>
      </c>
      <c r="O3">
        <f>O2*72000</f>
        <v>4184667.2573733306</v>
      </c>
    </row>
    <row r="4" spans="1:12" ht="12.75">
      <c r="A4" s="1">
        <v>40603</v>
      </c>
      <c r="B4">
        <v>5.1</v>
      </c>
      <c r="C4">
        <v>150</v>
      </c>
      <c r="D4">
        <v>0</v>
      </c>
      <c r="E4">
        <v>0</v>
      </c>
      <c r="F4">
        <v>20</v>
      </c>
      <c r="G4">
        <v>15.3</v>
      </c>
      <c r="H4">
        <v>0.6168186397528711</v>
      </c>
      <c r="I4">
        <v>4.3999999999999995</v>
      </c>
      <c r="J4">
        <v>5.883</v>
      </c>
      <c r="K4" s="48">
        <f t="shared" si="0"/>
        <v>1764.9</v>
      </c>
      <c r="L4" s="49"/>
    </row>
    <row r="5" spans="1:12" ht="12.75">
      <c r="A5" s="1">
        <v>40634</v>
      </c>
      <c r="B5">
        <v>5.2</v>
      </c>
      <c r="C5">
        <v>300</v>
      </c>
      <c r="D5">
        <v>0</v>
      </c>
      <c r="E5">
        <v>0</v>
      </c>
      <c r="F5">
        <v>10</v>
      </c>
      <c r="G5">
        <v>19.7</v>
      </c>
      <c r="H5">
        <v>1.1220742282100762</v>
      </c>
      <c r="I5">
        <v>5.699999999999999</v>
      </c>
      <c r="J5">
        <v>6.059</v>
      </c>
      <c r="K5" s="48">
        <f t="shared" si="0"/>
        <v>1817.7</v>
      </c>
      <c r="L5" s="49"/>
    </row>
    <row r="6" spans="1:12" ht="12.75">
      <c r="A6" s="1">
        <v>40664</v>
      </c>
      <c r="B6">
        <v>5.4</v>
      </c>
      <c r="C6">
        <v>510</v>
      </c>
      <c r="D6">
        <v>0</v>
      </c>
      <c r="E6">
        <v>0</v>
      </c>
      <c r="F6">
        <v>120</v>
      </c>
      <c r="G6">
        <v>12</v>
      </c>
      <c r="H6">
        <v>0.9260286185648903</v>
      </c>
      <c r="I6">
        <v>4.1</v>
      </c>
      <c r="J6">
        <v>7.346</v>
      </c>
      <c r="K6" s="48">
        <f t="shared" si="0"/>
        <v>2203.8</v>
      </c>
      <c r="L6" s="49"/>
    </row>
    <row r="7" spans="1:12" ht="12.75">
      <c r="A7" s="1">
        <v>40695</v>
      </c>
      <c r="B7">
        <v>5.4</v>
      </c>
      <c r="C7">
        <v>450</v>
      </c>
      <c r="D7">
        <v>0</v>
      </c>
      <c r="E7">
        <v>0</v>
      </c>
      <c r="F7">
        <v>100</v>
      </c>
      <c r="G7">
        <v>11.6</v>
      </c>
      <c r="H7">
        <v>0.7426349177076764</v>
      </c>
      <c r="I7">
        <v>6</v>
      </c>
      <c r="J7">
        <v>7.367</v>
      </c>
      <c r="K7" s="48">
        <f t="shared" si="0"/>
        <v>2210.1</v>
      </c>
      <c r="L7" s="49"/>
    </row>
    <row r="8" spans="1:12" ht="12.75">
      <c r="A8" s="1">
        <v>40725</v>
      </c>
      <c r="B8">
        <v>5.3</v>
      </c>
      <c r="C8">
        <v>150</v>
      </c>
      <c r="D8">
        <v>0</v>
      </c>
      <c r="E8">
        <v>0</v>
      </c>
      <c r="F8">
        <v>50</v>
      </c>
      <c r="G8">
        <v>9.4</v>
      </c>
      <c r="H8">
        <v>1.2781527455690473</v>
      </c>
      <c r="I8">
        <v>5.2</v>
      </c>
      <c r="J8">
        <v>6.777</v>
      </c>
      <c r="K8" s="48">
        <f t="shared" si="0"/>
        <v>2033.1000000000001</v>
      </c>
      <c r="L8" s="49"/>
    </row>
    <row r="9" spans="1:12" ht="12.75">
      <c r="A9" s="1">
        <v>40756</v>
      </c>
      <c r="B9">
        <v>5</v>
      </c>
      <c r="C9">
        <v>225</v>
      </c>
      <c r="D9">
        <v>0</v>
      </c>
      <c r="E9">
        <v>0</v>
      </c>
      <c r="F9">
        <v>15</v>
      </c>
      <c r="G9">
        <v>18.4</v>
      </c>
      <c r="H9">
        <v>0.8209089224237444</v>
      </c>
      <c r="I9">
        <v>4.1</v>
      </c>
      <c r="J9">
        <v>6.129</v>
      </c>
      <c r="K9" s="48">
        <f t="shared" si="0"/>
        <v>1838.6999999999998</v>
      </c>
      <c r="L9" s="49"/>
    </row>
    <row r="10" spans="1:12" ht="12.75">
      <c r="A10" s="1">
        <v>40787</v>
      </c>
      <c r="B10">
        <v>4.8</v>
      </c>
      <c r="C10">
        <v>150</v>
      </c>
      <c r="D10">
        <v>0</v>
      </c>
      <c r="E10">
        <v>0</v>
      </c>
      <c r="F10">
        <v>40</v>
      </c>
      <c r="G10">
        <v>22.6</v>
      </c>
      <c r="H10">
        <v>0.9645078063747154</v>
      </c>
      <c r="I10">
        <v>5.1000000000000005</v>
      </c>
      <c r="J10">
        <v>7.153</v>
      </c>
      <c r="K10" s="48">
        <f t="shared" si="0"/>
        <v>2145.9</v>
      </c>
      <c r="L10" s="49"/>
    </row>
    <row r="11" spans="1:12" ht="12.75">
      <c r="A11" s="1">
        <v>40817</v>
      </c>
      <c r="B11">
        <v>4.6</v>
      </c>
      <c r="C11">
        <v>150</v>
      </c>
      <c r="D11">
        <v>0</v>
      </c>
      <c r="E11">
        <v>0</v>
      </c>
      <c r="F11">
        <v>0</v>
      </c>
      <c r="G11">
        <v>18.2</v>
      </c>
      <c r="H11">
        <v>1.0404275032411445</v>
      </c>
      <c r="I11">
        <v>5</v>
      </c>
      <c r="J11">
        <v>6.355</v>
      </c>
      <c r="K11" s="48">
        <f t="shared" si="0"/>
        <v>1906.5000000000002</v>
      </c>
      <c r="L11" s="49"/>
    </row>
    <row r="12" spans="1:12" ht="12.75">
      <c r="A12" s="1">
        <v>40848</v>
      </c>
      <c r="B12">
        <v>4.2</v>
      </c>
      <c r="C12">
        <v>750</v>
      </c>
      <c r="D12">
        <v>1</v>
      </c>
      <c r="E12">
        <v>0</v>
      </c>
      <c r="F12">
        <v>200</v>
      </c>
      <c r="G12">
        <v>13.2</v>
      </c>
      <c r="H12">
        <v>1.7917420166345182</v>
      </c>
      <c r="I12">
        <v>3.5999999999999996</v>
      </c>
      <c r="J12">
        <v>9.118</v>
      </c>
      <c r="K12" s="48">
        <f t="shared" si="0"/>
        <v>2735.4</v>
      </c>
      <c r="L12" s="49"/>
    </row>
    <row r="13" spans="1:12" ht="12.75">
      <c r="A13" s="1">
        <v>40878</v>
      </c>
      <c r="B13">
        <v>4.1</v>
      </c>
      <c r="C13">
        <v>600</v>
      </c>
      <c r="D13">
        <v>0</v>
      </c>
      <c r="E13">
        <v>1</v>
      </c>
      <c r="F13">
        <v>150</v>
      </c>
      <c r="G13">
        <v>24.6</v>
      </c>
      <c r="H13">
        <v>1.3663566787235824</v>
      </c>
      <c r="I13">
        <v>5.4</v>
      </c>
      <c r="J13">
        <v>8.982</v>
      </c>
      <c r="K13" s="48">
        <f t="shared" si="0"/>
        <v>2694.6</v>
      </c>
      <c r="L13" s="49"/>
    </row>
    <row r="14" spans="1:12" ht="12.75">
      <c r="A14" s="1">
        <v>40909</v>
      </c>
      <c r="B14">
        <v>4</v>
      </c>
      <c r="C14">
        <v>150</v>
      </c>
      <c r="D14">
        <v>0</v>
      </c>
      <c r="E14">
        <v>0</v>
      </c>
      <c r="F14">
        <v>0</v>
      </c>
      <c r="G14">
        <v>22.3</v>
      </c>
      <c r="H14">
        <v>1.3019967182599446</v>
      </c>
      <c r="I14">
        <v>5.2</v>
      </c>
      <c r="J14">
        <v>6.441</v>
      </c>
      <c r="K14" s="48">
        <f t="shared" si="0"/>
        <v>1932.3</v>
      </c>
      <c r="L14" s="49"/>
    </row>
    <row r="15" spans="1:12" ht="12.75">
      <c r="A15" s="1">
        <v>40940</v>
      </c>
      <c r="B15">
        <v>4</v>
      </c>
      <c r="C15">
        <v>375</v>
      </c>
      <c r="D15">
        <v>0</v>
      </c>
      <c r="E15">
        <v>0</v>
      </c>
      <c r="F15">
        <v>75</v>
      </c>
      <c r="G15">
        <v>7.6</v>
      </c>
      <c r="H15">
        <v>1.6349238257798329</v>
      </c>
      <c r="I15">
        <v>4.199999999999999</v>
      </c>
      <c r="J15">
        <v>7.165</v>
      </c>
      <c r="K15" s="48">
        <f t="shared" si="0"/>
        <v>2149.5</v>
      </c>
      <c r="L15" s="49"/>
    </row>
    <row r="16" spans="1:12" ht="12.75">
      <c r="A16" s="1">
        <v>40969</v>
      </c>
      <c r="B16">
        <v>4</v>
      </c>
      <c r="C16">
        <v>450</v>
      </c>
      <c r="D16">
        <v>0</v>
      </c>
      <c r="E16">
        <v>0</v>
      </c>
      <c r="F16">
        <v>10</v>
      </c>
      <c r="G16">
        <v>17</v>
      </c>
      <c r="H16">
        <v>1.2134422577839197</v>
      </c>
      <c r="I16">
        <v>3.1</v>
      </c>
      <c r="J16">
        <v>6.177</v>
      </c>
      <c r="K16" s="48">
        <f t="shared" si="0"/>
        <v>1853.1</v>
      </c>
      <c r="L16" s="49"/>
    </row>
    <row r="17" spans="1:12" ht="12.75">
      <c r="A17" s="1">
        <v>41000</v>
      </c>
      <c r="B17">
        <v>3.5</v>
      </c>
      <c r="C17">
        <v>450</v>
      </c>
      <c r="D17">
        <v>0</v>
      </c>
      <c r="E17">
        <v>0</v>
      </c>
      <c r="F17">
        <v>100</v>
      </c>
      <c r="G17">
        <v>19.7</v>
      </c>
      <c r="H17">
        <v>1.6973672614033934</v>
      </c>
      <c r="I17">
        <v>6.800000000000001</v>
      </c>
      <c r="J17">
        <v>7.797</v>
      </c>
      <c r="K17" s="48">
        <f t="shared" si="0"/>
        <v>2339.1</v>
      </c>
      <c r="L17" s="49"/>
    </row>
    <row r="18" spans="1:12" ht="12.75">
      <c r="A18" s="1">
        <v>41030</v>
      </c>
      <c r="B18">
        <v>3.7</v>
      </c>
      <c r="C18">
        <v>510</v>
      </c>
      <c r="D18">
        <v>0</v>
      </c>
      <c r="E18">
        <v>0</v>
      </c>
      <c r="F18">
        <v>20</v>
      </c>
      <c r="G18">
        <v>20.7</v>
      </c>
      <c r="H18">
        <v>1.3063419725235297</v>
      </c>
      <c r="I18">
        <v>4.8</v>
      </c>
      <c r="J18">
        <v>6.244</v>
      </c>
      <c r="K18" s="48">
        <f t="shared" si="0"/>
        <v>1873.1999999999998</v>
      </c>
      <c r="L18" s="49"/>
    </row>
    <row r="19" spans="1:12" ht="12.75">
      <c r="A19" s="1">
        <v>41061</v>
      </c>
      <c r="B19">
        <v>3.5</v>
      </c>
      <c r="C19">
        <v>270</v>
      </c>
      <c r="D19">
        <v>0</v>
      </c>
      <c r="E19">
        <v>0</v>
      </c>
      <c r="F19">
        <v>40</v>
      </c>
      <c r="G19">
        <v>6.4</v>
      </c>
      <c r="H19">
        <v>1.2550194040239342</v>
      </c>
      <c r="I19">
        <v>4.1</v>
      </c>
      <c r="J19">
        <v>5.918</v>
      </c>
      <c r="K19" s="48">
        <f t="shared" si="0"/>
        <v>1775.4</v>
      </c>
      <c r="L19" s="49"/>
    </row>
    <row r="20" spans="1:12" ht="12.75">
      <c r="A20" s="1">
        <v>41091</v>
      </c>
      <c r="B20">
        <v>4.6</v>
      </c>
      <c r="C20">
        <v>150</v>
      </c>
      <c r="D20">
        <v>0</v>
      </c>
      <c r="E20">
        <v>0</v>
      </c>
      <c r="F20">
        <v>0</v>
      </c>
      <c r="G20">
        <v>20.7</v>
      </c>
      <c r="H20">
        <v>0.8046785108820931</v>
      </c>
      <c r="I20">
        <v>6.6000000000000005</v>
      </c>
      <c r="J20">
        <v>6.229</v>
      </c>
      <c r="K20" s="48">
        <f t="shared" si="0"/>
        <v>1868.7</v>
      </c>
      <c r="L20" s="49"/>
    </row>
    <row r="21" spans="1:12" ht="12.75">
      <c r="A21" s="1">
        <v>41122</v>
      </c>
      <c r="B21">
        <v>4.2</v>
      </c>
      <c r="C21">
        <v>150</v>
      </c>
      <c r="D21">
        <v>0</v>
      </c>
      <c r="E21">
        <v>0</v>
      </c>
      <c r="F21">
        <v>10</v>
      </c>
      <c r="G21">
        <v>12.6</v>
      </c>
      <c r="H21">
        <v>0.7502116410760298</v>
      </c>
      <c r="I21">
        <v>4.3999999999999995</v>
      </c>
      <c r="J21">
        <v>6.037</v>
      </c>
      <c r="K21" s="48">
        <f t="shared" si="0"/>
        <v>1811.1</v>
      </c>
      <c r="L21" s="49"/>
    </row>
    <row r="22" spans="1:12" ht="12.75">
      <c r="A22" s="1">
        <v>41153</v>
      </c>
      <c r="B22">
        <v>4.1</v>
      </c>
      <c r="C22">
        <v>600</v>
      </c>
      <c r="D22">
        <v>0</v>
      </c>
      <c r="E22">
        <v>0</v>
      </c>
      <c r="F22">
        <v>150</v>
      </c>
      <c r="G22">
        <v>12</v>
      </c>
      <c r="H22">
        <v>0.972954658984371</v>
      </c>
      <c r="I22">
        <v>4.6</v>
      </c>
      <c r="J22">
        <v>7.586</v>
      </c>
      <c r="K22" s="48">
        <f t="shared" si="0"/>
        <v>2275.8</v>
      </c>
      <c r="L22" s="49"/>
    </row>
    <row r="23" spans="1:12" ht="12.75">
      <c r="A23" s="1">
        <v>41183</v>
      </c>
      <c r="B23">
        <v>4</v>
      </c>
      <c r="C23">
        <v>150</v>
      </c>
      <c r="D23">
        <v>0</v>
      </c>
      <c r="E23">
        <v>0</v>
      </c>
      <c r="F23">
        <v>0</v>
      </c>
      <c r="G23">
        <v>24.1</v>
      </c>
      <c r="H23">
        <v>0.494539573022796</v>
      </c>
      <c r="I23">
        <v>4</v>
      </c>
      <c r="J23">
        <v>6.346</v>
      </c>
      <c r="K23" s="48">
        <f t="shared" si="0"/>
        <v>1903.8</v>
      </c>
      <c r="L23" s="49"/>
    </row>
    <row r="24" spans="1:12" ht="12.75">
      <c r="A24" s="1">
        <v>41214</v>
      </c>
      <c r="B24">
        <v>4</v>
      </c>
      <c r="C24">
        <v>600</v>
      </c>
      <c r="D24">
        <v>1</v>
      </c>
      <c r="E24">
        <v>0</v>
      </c>
      <c r="F24">
        <v>150</v>
      </c>
      <c r="G24">
        <v>24.5</v>
      </c>
      <c r="H24">
        <v>1.645918277024607</v>
      </c>
      <c r="I24">
        <v>6</v>
      </c>
      <c r="J24">
        <v>9.35</v>
      </c>
      <c r="K24" s="48">
        <f t="shared" si="0"/>
        <v>2805</v>
      </c>
      <c r="L24" s="49"/>
    </row>
    <row r="25" spans="1:12" ht="12.75">
      <c r="A25" s="1">
        <v>41244</v>
      </c>
      <c r="B25">
        <v>4</v>
      </c>
      <c r="C25">
        <v>750</v>
      </c>
      <c r="D25">
        <v>0</v>
      </c>
      <c r="E25">
        <v>1</v>
      </c>
      <c r="F25">
        <v>20</v>
      </c>
      <c r="G25">
        <v>10.1</v>
      </c>
      <c r="H25">
        <v>1.217580147092109</v>
      </c>
      <c r="I25">
        <v>3.6999999999999997</v>
      </c>
      <c r="J25">
        <v>6.748</v>
      </c>
      <c r="K25" s="48">
        <f t="shared" si="0"/>
        <v>2024.4</v>
      </c>
      <c r="L25" s="49"/>
    </row>
    <row r="26" spans="1:12" ht="12.75">
      <c r="A26" s="1">
        <v>41275</v>
      </c>
      <c r="B26">
        <v>3.5</v>
      </c>
      <c r="C26">
        <v>240</v>
      </c>
      <c r="D26">
        <v>0</v>
      </c>
      <c r="E26">
        <v>0</v>
      </c>
      <c r="F26">
        <v>30</v>
      </c>
      <c r="G26">
        <v>22.5</v>
      </c>
      <c r="H26">
        <v>1.823837736433092</v>
      </c>
      <c r="I26">
        <v>5.699999999999999</v>
      </c>
      <c r="J26">
        <v>6.687</v>
      </c>
      <c r="K26" s="48">
        <f t="shared" si="0"/>
        <v>2006.1000000000001</v>
      </c>
      <c r="L26" s="49"/>
    </row>
    <row r="27" spans="1:12" ht="12.75">
      <c r="A27" s="1">
        <v>41306</v>
      </c>
      <c r="B27">
        <v>5</v>
      </c>
      <c r="C27">
        <v>150</v>
      </c>
      <c r="D27">
        <v>0</v>
      </c>
      <c r="E27">
        <v>0</v>
      </c>
      <c r="F27">
        <v>0</v>
      </c>
      <c r="G27">
        <v>20.8</v>
      </c>
      <c r="H27">
        <v>0.7019934125260214</v>
      </c>
      <c r="I27">
        <v>4.9</v>
      </c>
      <c r="J27">
        <v>6.601</v>
      </c>
      <c r="K27" s="48">
        <f t="shared" si="0"/>
        <v>1980.3</v>
      </c>
      <c r="L27" s="49"/>
    </row>
    <row r="28" spans="1:12" ht="12.75">
      <c r="A28" s="1">
        <v>41334</v>
      </c>
      <c r="B28">
        <v>5.4</v>
      </c>
      <c r="C28">
        <v>300</v>
      </c>
      <c r="D28">
        <v>0</v>
      </c>
      <c r="E28">
        <v>0</v>
      </c>
      <c r="F28">
        <v>50</v>
      </c>
      <c r="G28">
        <v>19</v>
      </c>
      <c r="H28">
        <v>1.8514891589297338</v>
      </c>
      <c r="I28">
        <v>5.3</v>
      </c>
      <c r="J28">
        <v>7.375</v>
      </c>
      <c r="K28" s="48">
        <f t="shared" si="0"/>
        <v>2212.5</v>
      </c>
      <c r="L28" s="49"/>
    </row>
    <row r="29" spans="1:12" ht="12.75">
      <c r="A29" s="1">
        <v>41365</v>
      </c>
      <c r="B29">
        <v>6.1</v>
      </c>
      <c r="C29">
        <v>300</v>
      </c>
      <c r="D29">
        <v>0</v>
      </c>
      <c r="E29">
        <v>0</v>
      </c>
      <c r="F29">
        <v>50</v>
      </c>
      <c r="G29">
        <v>5.2</v>
      </c>
      <c r="H29">
        <v>1.1813530047291756</v>
      </c>
      <c r="I29">
        <v>6.5</v>
      </c>
      <c r="J29">
        <v>6.42</v>
      </c>
      <c r="K29" s="48">
        <f t="shared" si="0"/>
        <v>1926</v>
      </c>
      <c r="L29" s="49"/>
    </row>
    <row r="30" spans="1:12" ht="12.75">
      <c r="A30" s="1">
        <v>41395</v>
      </c>
      <c r="B30">
        <v>6.8</v>
      </c>
      <c r="C30">
        <v>150</v>
      </c>
      <c r="D30">
        <v>0</v>
      </c>
      <c r="E30">
        <v>0</v>
      </c>
      <c r="F30">
        <v>0</v>
      </c>
      <c r="G30">
        <v>18.1</v>
      </c>
      <c r="H30">
        <v>1.235798507476893</v>
      </c>
      <c r="I30">
        <v>4.8</v>
      </c>
      <c r="J30">
        <v>6.73</v>
      </c>
      <c r="K30" s="48">
        <f t="shared" si="0"/>
        <v>2019.0000000000002</v>
      </c>
      <c r="L30" s="49"/>
    </row>
    <row r="31" spans="1:12" ht="12.75">
      <c r="A31" s="1">
        <v>41426</v>
      </c>
      <c r="B31">
        <v>7</v>
      </c>
      <c r="C31">
        <v>150</v>
      </c>
      <c r="D31">
        <v>0</v>
      </c>
      <c r="E31">
        <v>0</v>
      </c>
      <c r="F31">
        <v>85</v>
      </c>
      <c r="G31">
        <v>18.4</v>
      </c>
      <c r="H31">
        <v>0.6783087878264633</v>
      </c>
      <c r="I31">
        <v>4.5</v>
      </c>
      <c r="J31">
        <v>8.011</v>
      </c>
      <c r="K31" s="48">
        <f t="shared" si="0"/>
        <v>2403.2999999999997</v>
      </c>
      <c r="L31" s="49"/>
    </row>
    <row r="32" spans="1:12" ht="12.75">
      <c r="A32" s="1">
        <v>41456</v>
      </c>
      <c r="B32">
        <v>7.4</v>
      </c>
      <c r="C32">
        <v>150</v>
      </c>
      <c r="D32">
        <v>0</v>
      </c>
      <c r="E32">
        <v>0</v>
      </c>
      <c r="F32">
        <v>25</v>
      </c>
      <c r="G32">
        <v>22.3</v>
      </c>
      <c r="H32">
        <v>1.5708136661778913</v>
      </c>
      <c r="I32">
        <v>5.6000000000000005</v>
      </c>
      <c r="J32">
        <v>7.348</v>
      </c>
      <c r="K32" s="48">
        <f t="shared" si="0"/>
        <v>2204.4</v>
      </c>
      <c r="L32" s="49"/>
    </row>
    <row r="33" spans="1:12" ht="12.75">
      <c r="A33" s="1">
        <v>41487</v>
      </c>
      <c r="B33">
        <v>7.3</v>
      </c>
      <c r="C33">
        <v>375</v>
      </c>
      <c r="D33">
        <v>0</v>
      </c>
      <c r="E33">
        <v>0</v>
      </c>
      <c r="F33">
        <v>75</v>
      </c>
      <c r="G33">
        <v>6.8</v>
      </c>
      <c r="H33">
        <v>0.9022618843316328</v>
      </c>
      <c r="I33">
        <v>3.8</v>
      </c>
      <c r="J33">
        <v>7.389</v>
      </c>
      <c r="K33" s="48">
        <f t="shared" si="0"/>
        <v>2216.7000000000003</v>
      </c>
      <c r="L33" s="49"/>
    </row>
    <row r="34" spans="1:12" ht="12.75">
      <c r="A34" s="1">
        <v>41518</v>
      </c>
      <c r="B34">
        <v>7.5</v>
      </c>
      <c r="C34">
        <v>150</v>
      </c>
      <c r="D34">
        <v>0</v>
      </c>
      <c r="E34">
        <v>0</v>
      </c>
      <c r="F34">
        <v>0</v>
      </c>
      <c r="G34">
        <v>26.2</v>
      </c>
      <c r="H34">
        <v>1.6673114047582234</v>
      </c>
      <c r="I34">
        <v>5</v>
      </c>
      <c r="J34">
        <v>6.942</v>
      </c>
      <c r="K34" s="48">
        <f t="shared" si="0"/>
        <v>2082.6</v>
      </c>
      <c r="L34" s="49"/>
    </row>
    <row r="35" spans="1:12" ht="12.75">
      <c r="A35" s="1">
        <v>41548</v>
      </c>
      <c r="B35">
        <v>7.2</v>
      </c>
      <c r="C35">
        <v>525</v>
      </c>
      <c r="D35">
        <v>0</v>
      </c>
      <c r="E35">
        <v>0</v>
      </c>
      <c r="F35">
        <v>125</v>
      </c>
      <c r="G35">
        <v>25.5</v>
      </c>
      <c r="H35">
        <v>1.4888468657295162</v>
      </c>
      <c r="I35">
        <v>3.9</v>
      </c>
      <c r="J35">
        <v>8.786</v>
      </c>
      <c r="K35" s="48">
        <f t="shared" si="0"/>
        <v>2635.7999999999997</v>
      </c>
      <c r="L35" s="49"/>
    </row>
    <row r="36" spans="1:12" ht="12.75">
      <c r="A36" s="1">
        <v>41579</v>
      </c>
      <c r="B36">
        <v>8</v>
      </c>
      <c r="C36">
        <v>450</v>
      </c>
      <c r="D36">
        <v>1</v>
      </c>
      <c r="E36">
        <v>0</v>
      </c>
      <c r="F36">
        <v>100</v>
      </c>
      <c r="G36">
        <v>8.8</v>
      </c>
      <c r="H36">
        <v>1.0692037211031555</v>
      </c>
      <c r="I36">
        <v>3.5999999999999996</v>
      </c>
      <c r="J36">
        <v>9.05</v>
      </c>
      <c r="K36" s="48">
        <f t="shared" si="0"/>
        <v>2715</v>
      </c>
      <c r="L36" s="49"/>
    </row>
    <row r="37" spans="1:12" ht="12.75">
      <c r="A37" s="1">
        <v>41609</v>
      </c>
      <c r="B37">
        <v>8.4</v>
      </c>
      <c r="C37">
        <v>450</v>
      </c>
      <c r="D37">
        <v>0</v>
      </c>
      <c r="E37">
        <v>1</v>
      </c>
      <c r="F37">
        <v>100</v>
      </c>
      <c r="G37">
        <v>25.9</v>
      </c>
      <c r="H37">
        <v>0.9318687049046631</v>
      </c>
      <c r="I37">
        <v>6.6000000000000005</v>
      </c>
      <c r="J37">
        <v>9.899</v>
      </c>
      <c r="K37" s="48">
        <f t="shared" si="0"/>
        <v>2969.7</v>
      </c>
      <c r="L37" s="49"/>
    </row>
    <row r="38" spans="1:12" ht="12.75">
      <c r="A38" s="1">
        <v>41640</v>
      </c>
      <c r="B38">
        <v>8.3</v>
      </c>
      <c r="C38">
        <v>300</v>
      </c>
      <c r="D38">
        <v>0</v>
      </c>
      <c r="E38">
        <v>0</v>
      </c>
      <c r="F38">
        <v>50</v>
      </c>
      <c r="G38">
        <v>13.6</v>
      </c>
      <c r="H38">
        <v>1.1421741382961446</v>
      </c>
      <c r="I38">
        <v>3.4000000000000004</v>
      </c>
      <c r="J38">
        <v>7.416</v>
      </c>
      <c r="K38" s="48">
        <f t="shared" si="0"/>
        <v>2224.8</v>
      </c>
      <c r="L38" s="49"/>
    </row>
    <row r="39" spans="1:12" ht="12.75">
      <c r="A39" s="1">
        <v>41671</v>
      </c>
      <c r="B39">
        <v>8.5</v>
      </c>
      <c r="C39">
        <v>150</v>
      </c>
      <c r="D39">
        <v>0</v>
      </c>
      <c r="E39">
        <v>0</v>
      </c>
      <c r="F39">
        <v>30</v>
      </c>
      <c r="G39">
        <v>21.4</v>
      </c>
      <c r="H39">
        <v>0.646969463475343</v>
      </c>
      <c r="I39">
        <v>5.8</v>
      </c>
      <c r="J39">
        <v>7.168</v>
      </c>
      <c r="K39" s="48">
        <f t="shared" si="0"/>
        <v>2150.4</v>
      </c>
      <c r="L39" s="49"/>
    </row>
    <row r="40" spans="1:12" ht="12.75">
      <c r="A40" s="1">
        <v>41699</v>
      </c>
      <c r="B40">
        <v>8.8</v>
      </c>
      <c r="C40">
        <v>150</v>
      </c>
      <c r="D40">
        <v>0</v>
      </c>
      <c r="E40">
        <v>0</v>
      </c>
      <c r="F40">
        <v>10</v>
      </c>
      <c r="G40">
        <v>15.9</v>
      </c>
      <c r="H40">
        <v>1.5812223746238474</v>
      </c>
      <c r="I40">
        <v>6.6000000000000005</v>
      </c>
      <c r="J40">
        <v>6.928</v>
      </c>
      <c r="K40" s="48">
        <f t="shared" si="0"/>
        <v>2078.4</v>
      </c>
      <c r="L40" s="49"/>
    </row>
    <row r="41" spans="1:12" ht="12.75">
      <c r="A41" s="1">
        <v>41730</v>
      </c>
      <c r="B41">
        <v>8.5</v>
      </c>
      <c r="C41">
        <v>675</v>
      </c>
      <c r="D41">
        <v>0</v>
      </c>
      <c r="E41">
        <v>0</v>
      </c>
      <c r="F41">
        <v>175</v>
      </c>
      <c r="G41">
        <v>9.2</v>
      </c>
      <c r="H41">
        <v>0.9130130176310621</v>
      </c>
      <c r="I41">
        <v>6.800000000000001</v>
      </c>
      <c r="J41">
        <v>7.968</v>
      </c>
      <c r="K41" s="48">
        <f t="shared" si="0"/>
        <v>2390.4</v>
      </c>
      <c r="L41" s="49"/>
    </row>
    <row r="42" spans="1:12" ht="12.75">
      <c r="A42" s="1">
        <v>41760</v>
      </c>
      <c r="B42">
        <v>8.2</v>
      </c>
      <c r="C42">
        <v>150</v>
      </c>
      <c r="D42">
        <v>0</v>
      </c>
      <c r="E42">
        <v>0</v>
      </c>
      <c r="F42">
        <v>10</v>
      </c>
      <c r="G42">
        <v>24.2</v>
      </c>
      <c r="H42">
        <v>1.577213106715405</v>
      </c>
      <c r="I42">
        <v>4.1</v>
      </c>
      <c r="J42">
        <v>7.296</v>
      </c>
      <c r="K42" s="48">
        <f t="shared" si="0"/>
        <v>2188.8</v>
      </c>
      <c r="L42" s="49"/>
    </row>
    <row r="43" spans="1:12" ht="12.75">
      <c r="A43" s="1">
        <v>41791</v>
      </c>
      <c r="B43">
        <v>8</v>
      </c>
      <c r="C43">
        <v>690</v>
      </c>
      <c r="D43">
        <v>0</v>
      </c>
      <c r="E43">
        <v>0</v>
      </c>
      <c r="F43">
        <v>180</v>
      </c>
      <c r="G43">
        <v>22.7</v>
      </c>
      <c r="H43">
        <v>1.4388433279134873</v>
      </c>
      <c r="I43">
        <v>3.5999999999999996</v>
      </c>
      <c r="J43">
        <v>8.784</v>
      </c>
      <c r="K43" s="48">
        <f t="shared" si="0"/>
        <v>2635.2000000000003</v>
      </c>
      <c r="L43" s="49"/>
    </row>
    <row r="44" spans="1:12" ht="12.75">
      <c r="A44" s="1">
        <v>41821</v>
      </c>
      <c r="B44">
        <v>8.1</v>
      </c>
      <c r="C44">
        <v>150</v>
      </c>
      <c r="D44">
        <v>0</v>
      </c>
      <c r="E44">
        <v>0</v>
      </c>
      <c r="F44">
        <v>50</v>
      </c>
      <c r="G44">
        <v>13</v>
      </c>
      <c r="H44">
        <v>0.8251304432638866</v>
      </c>
      <c r="I44">
        <v>6</v>
      </c>
      <c r="J44">
        <v>7.193</v>
      </c>
      <c r="K44" s="48">
        <f t="shared" si="0"/>
        <v>2157.9</v>
      </c>
      <c r="L44" s="49"/>
    </row>
    <row r="45" spans="1:12" ht="12.75">
      <c r="A45" s="1">
        <v>41852</v>
      </c>
      <c r="B45">
        <v>7.9</v>
      </c>
      <c r="C45">
        <v>450</v>
      </c>
      <c r="D45">
        <v>0</v>
      </c>
      <c r="E45">
        <v>0</v>
      </c>
      <c r="F45">
        <v>25</v>
      </c>
      <c r="G45">
        <v>21.8</v>
      </c>
      <c r="H45">
        <v>1.6158751500063615</v>
      </c>
      <c r="I45">
        <v>4.8</v>
      </c>
      <c r="J45">
        <v>6.904</v>
      </c>
      <c r="K45" s="48">
        <f t="shared" si="0"/>
        <v>2071.2</v>
      </c>
      <c r="L45" s="49"/>
    </row>
    <row r="46" spans="1:12" ht="12.75">
      <c r="A46" s="1">
        <v>41883</v>
      </c>
      <c r="B46">
        <v>8.2</v>
      </c>
      <c r="C46">
        <v>450</v>
      </c>
      <c r="D46">
        <v>0</v>
      </c>
      <c r="E46">
        <v>0</v>
      </c>
      <c r="F46">
        <v>125</v>
      </c>
      <c r="G46">
        <v>7.3</v>
      </c>
      <c r="H46">
        <v>1.033628615006064</v>
      </c>
      <c r="I46">
        <v>4.8</v>
      </c>
      <c r="J46">
        <v>7.884</v>
      </c>
      <c r="K46" s="48">
        <f t="shared" si="0"/>
        <v>2365.2000000000003</v>
      </c>
      <c r="L46" s="49"/>
    </row>
    <row r="47" spans="1:19" ht="12.75">
      <c r="A47" s="1">
        <v>41913</v>
      </c>
      <c r="B47">
        <v>8.4</v>
      </c>
      <c r="C47">
        <v>750</v>
      </c>
      <c r="D47">
        <v>0</v>
      </c>
      <c r="E47">
        <v>0</v>
      </c>
      <c r="F47">
        <v>185</v>
      </c>
      <c r="G47">
        <v>20.2</v>
      </c>
      <c r="H47">
        <v>1.7931327556801493</v>
      </c>
      <c r="I47">
        <v>4.3999999999999995</v>
      </c>
      <c r="J47">
        <v>8.595</v>
      </c>
      <c r="K47" s="48">
        <f t="shared" si="0"/>
        <v>2578.5</v>
      </c>
      <c r="S47" s="24"/>
    </row>
    <row r="48" spans="1:11" ht="12.75">
      <c r="A48" s="1">
        <v>41944</v>
      </c>
      <c r="B48">
        <v>8.3</v>
      </c>
      <c r="C48">
        <v>600</v>
      </c>
      <c r="D48">
        <v>1</v>
      </c>
      <c r="E48">
        <v>0</v>
      </c>
      <c r="F48">
        <v>150</v>
      </c>
      <c r="G48">
        <v>17.8</v>
      </c>
      <c r="H48">
        <v>0.7075723040684458</v>
      </c>
      <c r="I48">
        <v>6.1</v>
      </c>
      <c r="J48">
        <v>9.464</v>
      </c>
      <c r="K48" s="48">
        <f t="shared" si="0"/>
        <v>2839.2000000000003</v>
      </c>
    </row>
    <row r="49" spans="1:11" ht="12.75">
      <c r="A49" s="1">
        <v>41974</v>
      </c>
      <c r="B49">
        <v>8.5</v>
      </c>
      <c r="C49">
        <v>600</v>
      </c>
      <c r="D49">
        <v>0</v>
      </c>
      <c r="E49">
        <v>1</v>
      </c>
      <c r="F49">
        <v>190</v>
      </c>
      <c r="G49">
        <v>8.1</v>
      </c>
      <c r="H49">
        <v>1.6265501550610049</v>
      </c>
      <c r="I49">
        <v>4.5</v>
      </c>
      <c r="J49">
        <v>9.628</v>
      </c>
      <c r="K49" s="48">
        <f t="shared" si="0"/>
        <v>2888.4</v>
      </c>
    </row>
    <row r="50" ht="13.5" thickBot="1">
      <c r="S50" s="24"/>
    </row>
    <row r="51" spans="2:8" ht="13.5" thickBot="1">
      <c r="B51" s="2" t="s">
        <v>15</v>
      </c>
      <c r="C51" s="3" t="s">
        <v>16</v>
      </c>
      <c r="D51" s="3" t="s">
        <v>17</v>
      </c>
      <c r="E51" s="3" t="s">
        <v>18</v>
      </c>
      <c r="F51" s="9" t="s">
        <v>19</v>
      </c>
      <c r="G51" s="10" t="s">
        <v>20</v>
      </c>
      <c r="H51" s="4" t="s">
        <v>21</v>
      </c>
    </row>
    <row r="52" spans="1:8" ht="12.75">
      <c r="A52" s="5" t="s">
        <v>10</v>
      </c>
      <c r="B52" s="11">
        <f>MIN(B2:B49)</f>
        <v>3.5</v>
      </c>
      <c r="C52" s="11">
        <f>MIN(C2:C49)</f>
        <v>150</v>
      </c>
      <c r="D52" s="11">
        <f>MIN(F2:F49)</f>
        <v>0</v>
      </c>
      <c r="E52" s="11">
        <f>MIN(G2:G49)</f>
        <v>5.2</v>
      </c>
      <c r="F52" s="12">
        <f>MIN(H2:H49)</f>
        <v>0.494539573022796</v>
      </c>
      <c r="G52" s="11">
        <f>MIN(I2:I49)</f>
        <v>3.1</v>
      </c>
      <c r="H52" s="13">
        <f>MIN(J2:J49)</f>
        <v>5.883</v>
      </c>
    </row>
    <row r="53" spans="1:19" ht="12.75">
      <c r="A53" s="6" t="s">
        <v>11</v>
      </c>
      <c r="B53" s="14">
        <f>AVERAGE(B2:B49)</f>
        <v>5.960416666666667</v>
      </c>
      <c r="C53" s="14">
        <f>AVERAGE(C2:C49)</f>
        <v>357.1875</v>
      </c>
      <c r="D53" s="14">
        <f>AVERAGE(F2:F49)</f>
        <v>68.75</v>
      </c>
      <c r="E53" s="14">
        <f>AVERAGE(G2:G49)</f>
        <v>17.01875</v>
      </c>
      <c r="F53" s="14">
        <f>AVERAGE(H2:H49)</f>
        <v>1.2108412203047831</v>
      </c>
      <c r="G53" s="12">
        <f>AVERAGE(I2:I49)</f>
        <v>4.956250000000001</v>
      </c>
      <c r="H53" s="13">
        <f>AVERAGE(J2:J49)</f>
        <v>7.4117708333333345</v>
      </c>
      <c r="S53" s="24"/>
    </row>
    <row r="54" spans="1:8" ht="12.75">
      <c r="A54" s="7" t="s">
        <v>12</v>
      </c>
      <c r="B54" s="12">
        <f>MEDIAN(B2:B49)</f>
        <v>5.35</v>
      </c>
      <c r="C54" s="12">
        <f>MEDIAN(C2:C49)</f>
        <v>300</v>
      </c>
      <c r="D54" s="12">
        <f>MEDIAN(F2:F49)</f>
        <v>50</v>
      </c>
      <c r="E54" s="12">
        <f>MEDIAN(G2:G49)</f>
        <v>18.299999999999997</v>
      </c>
      <c r="F54" s="12">
        <f>MEDIAN(H2:H49)</f>
        <v>1.2155112024380144</v>
      </c>
      <c r="G54" s="12">
        <f>MEDIAN(I2:I49)</f>
        <v>4.85</v>
      </c>
      <c r="H54" s="13">
        <f>MEDIAN(J2:J49)</f>
        <v>7.2445</v>
      </c>
    </row>
    <row r="55" spans="1:8" ht="12.75">
      <c r="A55" s="7" t="s">
        <v>13</v>
      </c>
      <c r="B55" s="12">
        <f>MAX(B2:B49)</f>
        <v>8.8</v>
      </c>
      <c r="C55" s="12">
        <f>MAX(C2:C49)</f>
        <v>750</v>
      </c>
      <c r="D55" s="12">
        <f>MAX(F2:F49)</f>
        <v>200</v>
      </c>
      <c r="E55" s="12">
        <f>MAX(G2:G49)</f>
        <v>26.2</v>
      </c>
      <c r="F55" s="12">
        <f>MAX(H2:H49)</f>
        <v>1.8514891589297338</v>
      </c>
      <c r="G55" s="12">
        <f>MAX(I2:I49)</f>
        <v>6.800000000000001</v>
      </c>
      <c r="H55" s="13">
        <f>MAX(J2:J49)</f>
        <v>9.899</v>
      </c>
    </row>
    <row r="56" spans="1:8" ht="13.5" thickBot="1">
      <c r="A56" s="8" t="s">
        <v>14</v>
      </c>
      <c r="B56" s="15">
        <f>STDEV(B2:B49)</f>
        <v>1.8290492336978732</v>
      </c>
      <c r="C56" s="15">
        <f>STDEV(C2:C49)</f>
        <v>203.08500015322167</v>
      </c>
      <c r="D56" s="15">
        <f>STDEV(F2:F49)</f>
        <v>62.317819588765076</v>
      </c>
      <c r="E56" s="15">
        <f>STDEV(G2:G49)</f>
        <v>6.195697074102524</v>
      </c>
      <c r="F56" s="15">
        <f>STDEV(H2:H49)</f>
        <v>0.3831512358552161</v>
      </c>
      <c r="G56" s="15">
        <f>STDEV(I2:I49)</f>
        <v>0.9935764434285712</v>
      </c>
      <c r="H56" s="16">
        <f>STDEV(J2:J49)</f>
        <v>1.0920914785076672</v>
      </c>
    </row>
    <row r="57" ht="13.5" thickBot="1"/>
    <row r="58" spans="2:6" ht="12.75">
      <c r="B58" s="5" t="s">
        <v>22</v>
      </c>
      <c r="C58" s="17"/>
      <c r="D58" s="18">
        <f>D53*2500</f>
        <v>171875</v>
      </c>
      <c r="E58" s="18">
        <f>E53*5500</f>
        <v>93603.125</v>
      </c>
      <c r="F58" s="19">
        <f>F53*72000</f>
        <v>87180.56786194438</v>
      </c>
    </row>
    <row r="59" spans="2:6" ht="13.5" thickBot="1">
      <c r="B59" s="20" t="s">
        <v>23</v>
      </c>
      <c r="C59" s="21"/>
      <c r="D59" s="22">
        <f>D58/SUM(D58:F58)</f>
        <v>0.4873692424966937</v>
      </c>
      <c r="E59" s="22">
        <f>E58/SUM(D58:F58)</f>
        <v>0.2654212894636994</v>
      </c>
      <c r="F59" s="23">
        <f>F58/SUM(D58:F58)</f>
        <v>0.2472094680396069</v>
      </c>
    </row>
    <row r="61" ht="12.75">
      <c r="A61" t="s">
        <v>25</v>
      </c>
    </row>
    <row r="62" ht="12.75">
      <c r="A62" t="s">
        <v>26</v>
      </c>
    </row>
    <row r="63" spans="4:8" ht="12.75">
      <c r="D63">
        <f>0.25*D59*H53*$H$63</f>
        <v>270.92018524505664</v>
      </c>
      <c r="E63">
        <f>0.25*E59*H53*H63</f>
        <v>147.5431328844579</v>
      </c>
      <c r="F63">
        <f>0.25*F59*H53*H63</f>
        <v>137.41949437048555</v>
      </c>
      <c r="H63">
        <v>300</v>
      </c>
    </row>
    <row r="65" ht="12.75">
      <c r="A65" t="s">
        <v>27</v>
      </c>
    </row>
    <row r="66" spans="4:6" ht="12.75">
      <c r="D66">
        <f>0.5*D59*H53*H63</f>
        <v>541.8403704901133</v>
      </c>
      <c r="E66">
        <f>0.5*E59*H53*H63</f>
        <v>295.0862657689158</v>
      </c>
      <c r="F66">
        <f>0.5*F59*H53*H63</f>
        <v>274.8389887409711</v>
      </c>
    </row>
    <row r="67" ht="13.5" thickBot="1"/>
    <row r="68" spans="1:6" ht="12.75">
      <c r="A68" s="5" t="s">
        <v>34</v>
      </c>
      <c r="B68" s="17"/>
      <c r="C68" s="17"/>
      <c r="D68" s="17"/>
      <c r="E68" s="17"/>
      <c r="F68" s="25"/>
    </row>
    <row r="69" spans="1:6" ht="12.75">
      <c r="A69" s="7"/>
      <c r="B69" s="26"/>
      <c r="C69" s="26"/>
      <c r="D69" s="26"/>
      <c r="E69" s="26"/>
      <c r="F69" s="27"/>
    </row>
    <row r="70" spans="1:6" ht="12.75">
      <c r="A70" s="7" t="s">
        <v>35</v>
      </c>
      <c r="B70" s="26">
        <v>0.1</v>
      </c>
      <c r="C70" s="26"/>
      <c r="D70" s="26"/>
      <c r="E70" s="26"/>
      <c r="F70" s="27"/>
    </row>
    <row r="71" spans="1:6" ht="12.75">
      <c r="A71" s="28">
        <v>0.25</v>
      </c>
      <c r="B71" s="26"/>
      <c r="C71" s="26"/>
      <c r="D71" s="26">
        <f>D63/D53^B70</f>
        <v>177.46556399904244</v>
      </c>
      <c r="E71" s="26">
        <f>E63/E53^B70</f>
        <v>111.12870027839374</v>
      </c>
      <c r="F71" s="27">
        <f>F63/F53^B70</f>
        <v>134.81543784658896</v>
      </c>
    </row>
    <row r="72" spans="1:6" ht="12.75">
      <c r="A72" s="28">
        <v>0.5</v>
      </c>
      <c r="B72" s="26"/>
      <c r="C72" s="26"/>
      <c r="D72" s="26">
        <f>D66/D53^B70</f>
        <v>354.9311279980849</v>
      </c>
      <c r="E72" s="26">
        <f>E66/E53^B70</f>
        <v>222.25740055678747</v>
      </c>
      <c r="F72" s="27">
        <f>F66/F53^B70</f>
        <v>269.6308756931779</v>
      </c>
    </row>
    <row r="73" spans="1:6" ht="12.75">
      <c r="A73" s="7" t="s">
        <v>28</v>
      </c>
      <c r="B73" s="26">
        <v>0.3</v>
      </c>
      <c r="C73" s="26"/>
      <c r="D73" s="26"/>
      <c r="E73" s="26"/>
      <c r="F73" s="27"/>
    </row>
    <row r="74" spans="1:6" ht="12.75">
      <c r="A74" s="28">
        <v>0.25</v>
      </c>
      <c r="B74" s="26"/>
      <c r="C74" s="29"/>
      <c r="D74" s="29">
        <f>D63/D53^B73</f>
        <v>76.14818443843626</v>
      </c>
      <c r="E74" s="29">
        <f>E63/E53^B73</f>
        <v>63.043556223602685</v>
      </c>
      <c r="F74" s="27">
        <f>F63/F53^B73</f>
        <v>129.75442788126986</v>
      </c>
    </row>
    <row r="75" spans="1:6" ht="12.75">
      <c r="A75" s="28">
        <v>0.5</v>
      </c>
      <c r="B75" s="26"/>
      <c r="C75" s="29"/>
      <c r="D75" s="29">
        <f>D66/D53^B73</f>
        <v>152.29636887687252</v>
      </c>
      <c r="E75" s="29">
        <f>E66/E53^B73</f>
        <v>126.08711244720537</v>
      </c>
      <c r="F75" s="27">
        <f>F66/F53^B73</f>
        <v>259.5088557625397</v>
      </c>
    </row>
    <row r="76" spans="1:6" ht="12.75">
      <c r="A76" s="7" t="s">
        <v>29</v>
      </c>
      <c r="B76" s="26">
        <v>0.5</v>
      </c>
      <c r="C76" s="26"/>
      <c r="D76" s="26"/>
      <c r="E76" s="26"/>
      <c r="F76" s="27"/>
    </row>
    <row r="77" spans="1:6" ht="12.75">
      <c r="A77" s="28">
        <v>0.25</v>
      </c>
      <c r="B77" s="26"/>
      <c r="C77" s="29"/>
      <c r="D77" s="29">
        <f>D63/D53^B76</f>
        <v>32.674203730597526</v>
      </c>
      <c r="E77" s="29">
        <f>E63/E53^B76</f>
        <v>35.764748182619535</v>
      </c>
      <c r="F77" s="27">
        <f>F63/F53^B76</f>
        <v>124.88340967266785</v>
      </c>
    </row>
    <row r="78" spans="1:6" ht="12.75">
      <c r="A78" s="28">
        <v>0.5</v>
      </c>
      <c r="B78" s="26"/>
      <c r="C78" s="29"/>
      <c r="D78" s="29">
        <f>D66/D53^B76</f>
        <v>65.34840746119505</v>
      </c>
      <c r="E78" s="29">
        <f>E66/E53^B76</f>
        <v>71.52949636523907</v>
      </c>
      <c r="F78" s="27">
        <f>F66/F53^B76</f>
        <v>249.7668193453357</v>
      </c>
    </row>
    <row r="79" spans="1:6" ht="12.75">
      <c r="A79" s="7" t="s">
        <v>30</v>
      </c>
      <c r="B79" s="26">
        <v>0.7</v>
      </c>
      <c r="C79" s="26"/>
      <c r="D79" s="26"/>
      <c r="E79" s="26"/>
      <c r="F79" s="27"/>
    </row>
    <row r="80" spans="1:6" ht="12.75">
      <c r="A80" s="28">
        <v>0.25</v>
      </c>
      <c r="B80" s="26"/>
      <c r="C80" s="29"/>
      <c r="D80" s="29">
        <f>D63/D53^B79</f>
        <v>14.02007936632714</v>
      </c>
      <c r="E80" s="29">
        <f>E63/E53^B79</f>
        <v>20.2894203497883</v>
      </c>
      <c r="F80" s="27">
        <f>F63/F53^B79</f>
        <v>120.19525087607947</v>
      </c>
    </row>
    <row r="81" spans="1:6" ht="12.75">
      <c r="A81" s="28">
        <v>0.5</v>
      </c>
      <c r="B81" s="26"/>
      <c r="C81" s="29"/>
      <c r="D81" s="29">
        <f>D66/D53^B79</f>
        <v>28.04015873265428</v>
      </c>
      <c r="E81" s="29">
        <f>E66/E53^B79</f>
        <v>40.5788406995766</v>
      </c>
      <c r="F81" s="27">
        <f>F66/F53^B79</f>
        <v>240.39050175215894</v>
      </c>
    </row>
    <row r="82" spans="1:6" ht="12.75">
      <c r="A82" s="7" t="s">
        <v>31</v>
      </c>
      <c r="B82" s="26">
        <v>0.9</v>
      </c>
      <c r="C82" s="26"/>
      <c r="D82" s="26"/>
      <c r="E82" s="26"/>
      <c r="F82" s="27"/>
    </row>
    <row r="83" spans="1:6" ht="12.75">
      <c r="A83" s="28">
        <v>0.25</v>
      </c>
      <c r="B83" s="26"/>
      <c r="C83" s="29"/>
      <c r="D83" s="29">
        <f>D63/D53^B82</f>
        <v>6.015835215413137</v>
      </c>
      <c r="E83" s="29">
        <f>E63/E53^B82</f>
        <v>11.510232814401776</v>
      </c>
      <c r="F83" s="27">
        <f>F63/F53^B82</f>
        <v>115.68308689705442</v>
      </c>
    </row>
    <row r="84" spans="1:6" ht="12.75">
      <c r="A84" s="28">
        <v>0.5</v>
      </c>
      <c r="B84" s="26"/>
      <c r="C84" s="29"/>
      <c r="D84" s="29">
        <f>D66/D53^B82</f>
        <v>12.031670430826274</v>
      </c>
      <c r="E84" s="29">
        <f>E66/E53^B82</f>
        <v>23.020465628803553</v>
      </c>
      <c r="F84" s="27">
        <f>F66/F53^B82</f>
        <v>231.36617379410885</v>
      </c>
    </row>
    <row r="85" spans="1:6" ht="12.75">
      <c r="A85" s="7"/>
      <c r="B85" s="26"/>
      <c r="C85" s="26"/>
      <c r="D85" s="26"/>
      <c r="E85" s="26"/>
      <c r="F85" s="27"/>
    </row>
    <row r="86" spans="1:6" ht="12.75">
      <c r="A86" s="7"/>
      <c r="B86" s="26"/>
      <c r="C86" s="26"/>
      <c r="D86" s="26"/>
      <c r="E86" s="26"/>
      <c r="F86" s="27"/>
    </row>
    <row r="87" spans="1:6" ht="12.75">
      <c r="A87" s="7" t="s">
        <v>32</v>
      </c>
      <c r="B87" s="26"/>
      <c r="C87" s="29"/>
      <c r="D87" s="29">
        <f>MIN(D71:D83)</f>
        <v>6.015835215413137</v>
      </c>
      <c r="E87" s="29">
        <f>MIN(E71:E83)</f>
        <v>11.510232814401776</v>
      </c>
      <c r="F87" s="27">
        <f>MIN(F71:F84)</f>
        <v>115.68308689705442</v>
      </c>
    </row>
    <row r="88" spans="1:6" ht="13.5" thickBot="1">
      <c r="A88" s="8" t="s">
        <v>33</v>
      </c>
      <c r="B88" s="21"/>
      <c r="C88" s="30"/>
      <c r="D88" s="30">
        <f>MAX(D71:D84)</f>
        <v>354.9311279980849</v>
      </c>
      <c r="E88" s="30">
        <f>MAX(E70:E84)</f>
        <v>222.25740055678747</v>
      </c>
      <c r="F88" s="31">
        <f>MAX(F71:F85)</f>
        <v>269.6308756931779</v>
      </c>
    </row>
  </sheetData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ignoredErrors>
    <ignoredError sqref="E71:E7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49">
      <selection activeCell="L1" sqref="L1:L65536"/>
    </sheetView>
  </sheetViews>
  <sheetFormatPr defaultColWidth="11.421875" defaultRowHeight="12.75"/>
  <sheetData>
    <row r="1" spans="1:14" ht="12.75">
      <c r="A1" t="s">
        <v>86</v>
      </c>
      <c r="B1" t="s">
        <v>0</v>
      </c>
      <c r="C1" t="s">
        <v>1</v>
      </c>
      <c r="D1" t="s">
        <v>2</v>
      </c>
      <c r="E1" t="s">
        <v>3</v>
      </c>
      <c r="F1" t="s">
        <v>69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50</v>
      </c>
      <c r="M1" t="s">
        <v>52</v>
      </c>
      <c r="N1" t="s">
        <v>87</v>
      </c>
    </row>
    <row r="2" spans="1:14" ht="12.75">
      <c r="A2">
        <v>1</v>
      </c>
      <c r="B2" t="s">
        <v>70</v>
      </c>
      <c r="C2">
        <v>5</v>
      </c>
      <c r="D2">
        <v>5.01064</v>
      </c>
      <c r="E2">
        <v>0</v>
      </c>
      <c r="F2">
        <v>0</v>
      </c>
      <c r="G2">
        <v>75</v>
      </c>
      <c r="H2">
        <v>3.24649</v>
      </c>
      <c r="I2">
        <v>0.40919</v>
      </c>
      <c r="J2">
        <v>5.6</v>
      </c>
      <c r="K2">
        <v>2442</v>
      </c>
      <c r="L2">
        <v>2363.72</v>
      </c>
      <c r="M2">
        <v>78.277</v>
      </c>
      <c r="N2">
        <v>72.0366</v>
      </c>
    </row>
    <row r="3" spans="1:14" ht="12.75">
      <c r="A3">
        <v>2</v>
      </c>
      <c r="B3" t="s">
        <v>71</v>
      </c>
      <c r="C3">
        <v>5.1</v>
      </c>
      <c r="D3">
        <v>6.10925</v>
      </c>
      <c r="E3">
        <v>0</v>
      </c>
      <c r="F3">
        <v>0</v>
      </c>
      <c r="G3">
        <v>125</v>
      </c>
      <c r="H3">
        <v>2.62467</v>
      </c>
      <c r="I3">
        <v>0.49819</v>
      </c>
      <c r="J3">
        <v>5.1</v>
      </c>
      <c r="K3">
        <v>2385.6</v>
      </c>
      <c r="L3">
        <v>2373.78</v>
      </c>
      <c r="M3">
        <v>11.815</v>
      </c>
      <c r="N3">
        <v>76.8002</v>
      </c>
    </row>
    <row r="4" spans="1:14" ht="12.75">
      <c r="A4">
        <v>3</v>
      </c>
      <c r="B4" t="s">
        <v>72</v>
      </c>
      <c r="C4">
        <v>5.1</v>
      </c>
      <c r="D4">
        <v>5.01064</v>
      </c>
      <c r="E4">
        <v>0</v>
      </c>
      <c r="F4">
        <v>0</v>
      </c>
      <c r="G4">
        <v>20</v>
      </c>
      <c r="H4">
        <v>2.72785</v>
      </c>
      <c r="I4">
        <v>-0.48318</v>
      </c>
      <c r="J4">
        <v>4.4</v>
      </c>
      <c r="K4">
        <v>1764.9</v>
      </c>
      <c r="L4">
        <v>1942.61</v>
      </c>
      <c r="M4">
        <v>-177.706</v>
      </c>
      <c r="N4">
        <v>75.7221</v>
      </c>
    </row>
    <row r="5" spans="1:14" ht="12.75">
      <c r="A5">
        <v>4</v>
      </c>
      <c r="B5" t="s">
        <v>73</v>
      </c>
      <c r="C5">
        <v>5.2</v>
      </c>
      <c r="D5">
        <v>5.70378</v>
      </c>
      <c r="E5">
        <v>0</v>
      </c>
      <c r="F5">
        <v>0</v>
      </c>
      <c r="G5">
        <v>10</v>
      </c>
      <c r="H5">
        <v>2.98062</v>
      </c>
      <c r="I5">
        <v>0.11518</v>
      </c>
      <c r="J5">
        <v>5.7</v>
      </c>
      <c r="K5">
        <v>1817.7</v>
      </c>
      <c r="L5">
        <v>1953.52</v>
      </c>
      <c r="M5">
        <v>-135.82</v>
      </c>
      <c r="N5">
        <v>76.576</v>
      </c>
    </row>
    <row r="6" spans="1:14" ht="12.75">
      <c r="A6">
        <v>5</v>
      </c>
      <c r="B6" t="s">
        <v>74</v>
      </c>
      <c r="C6">
        <v>5.4</v>
      </c>
      <c r="D6">
        <v>6.23441</v>
      </c>
      <c r="E6">
        <v>0</v>
      </c>
      <c r="F6">
        <v>0</v>
      </c>
      <c r="G6">
        <v>120</v>
      </c>
      <c r="H6">
        <v>2.48491</v>
      </c>
      <c r="I6">
        <v>-0.07685</v>
      </c>
      <c r="J6">
        <v>4.1</v>
      </c>
      <c r="K6">
        <v>2203.8</v>
      </c>
      <c r="L6">
        <v>2285.22</v>
      </c>
      <c r="M6">
        <v>-81.424</v>
      </c>
      <c r="N6">
        <v>75.9688</v>
      </c>
    </row>
    <row r="7" spans="1:14" ht="12.75">
      <c r="A7">
        <v>6</v>
      </c>
      <c r="B7" t="s">
        <v>75</v>
      </c>
      <c r="C7">
        <v>5.4</v>
      </c>
      <c r="D7">
        <v>6.10925</v>
      </c>
      <c r="E7">
        <v>0</v>
      </c>
      <c r="F7">
        <v>0</v>
      </c>
      <c r="G7">
        <v>100</v>
      </c>
      <c r="H7">
        <v>2.45101</v>
      </c>
      <c r="I7">
        <v>-0.29755</v>
      </c>
      <c r="J7">
        <v>6</v>
      </c>
      <c r="K7">
        <v>2210.1</v>
      </c>
      <c r="L7">
        <v>2207.68</v>
      </c>
      <c r="M7">
        <v>2.423</v>
      </c>
      <c r="N7">
        <v>71.1844</v>
      </c>
    </row>
    <row r="8" spans="1:14" ht="12.75">
      <c r="A8">
        <v>7</v>
      </c>
      <c r="B8" t="s">
        <v>76</v>
      </c>
      <c r="C8">
        <v>5.3</v>
      </c>
      <c r="D8">
        <v>5.01064</v>
      </c>
      <c r="E8">
        <v>0</v>
      </c>
      <c r="F8">
        <v>0</v>
      </c>
      <c r="G8">
        <v>50</v>
      </c>
      <c r="H8">
        <v>2.24071</v>
      </c>
      <c r="I8">
        <v>0.24542</v>
      </c>
      <c r="J8">
        <v>5.2</v>
      </c>
      <c r="K8">
        <v>2033.1</v>
      </c>
      <c r="L8">
        <v>2072.92</v>
      </c>
      <c r="M8">
        <v>-39.82</v>
      </c>
      <c r="N8">
        <v>73.9577</v>
      </c>
    </row>
    <row r="9" spans="1:14" ht="12.75">
      <c r="A9">
        <v>8</v>
      </c>
      <c r="B9" t="s">
        <v>77</v>
      </c>
      <c r="C9">
        <v>5</v>
      </c>
      <c r="D9">
        <v>5.4161</v>
      </c>
      <c r="E9">
        <v>0</v>
      </c>
      <c r="F9">
        <v>0</v>
      </c>
      <c r="G9">
        <v>15</v>
      </c>
      <c r="H9">
        <v>2.91235</v>
      </c>
      <c r="I9">
        <v>-0.19734</v>
      </c>
      <c r="J9">
        <v>4.1</v>
      </c>
      <c r="K9">
        <v>1838.7</v>
      </c>
      <c r="L9">
        <v>1938.04</v>
      </c>
      <c r="M9">
        <v>-99.342</v>
      </c>
      <c r="N9">
        <v>78.3764</v>
      </c>
    </row>
    <row r="10" spans="1:14" ht="12.75">
      <c r="A10">
        <v>9</v>
      </c>
      <c r="B10" t="s">
        <v>78</v>
      </c>
      <c r="C10">
        <v>4.8</v>
      </c>
      <c r="D10">
        <v>5.01064</v>
      </c>
      <c r="E10">
        <v>0</v>
      </c>
      <c r="F10">
        <v>0</v>
      </c>
      <c r="G10">
        <v>40</v>
      </c>
      <c r="H10">
        <v>3.11795</v>
      </c>
      <c r="I10">
        <v>-0.03614</v>
      </c>
      <c r="J10">
        <v>5.1</v>
      </c>
      <c r="K10">
        <v>2145.9</v>
      </c>
      <c r="L10">
        <v>2135.87</v>
      </c>
      <c r="M10">
        <v>10.025</v>
      </c>
      <c r="N10">
        <v>75.476</v>
      </c>
    </row>
    <row r="11" spans="1:14" ht="12.75">
      <c r="A11">
        <v>10</v>
      </c>
      <c r="B11" t="s">
        <v>79</v>
      </c>
      <c r="C11">
        <v>4.6</v>
      </c>
      <c r="D11">
        <v>5.01064</v>
      </c>
      <c r="E11">
        <v>0</v>
      </c>
      <c r="F11">
        <v>0</v>
      </c>
      <c r="G11">
        <v>0</v>
      </c>
      <c r="H11">
        <v>2.90142</v>
      </c>
      <c r="I11">
        <v>0.03963</v>
      </c>
      <c r="J11">
        <v>5</v>
      </c>
      <c r="K11">
        <v>1906.5</v>
      </c>
      <c r="L11">
        <v>1859.54</v>
      </c>
      <c r="M11">
        <v>46.963</v>
      </c>
      <c r="N11">
        <v>77.1625</v>
      </c>
    </row>
    <row r="12" spans="1:14" ht="12.75">
      <c r="A12">
        <v>11</v>
      </c>
      <c r="B12" t="s">
        <v>80</v>
      </c>
      <c r="C12">
        <v>4.2</v>
      </c>
      <c r="D12">
        <v>6.62007</v>
      </c>
      <c r="E12">
        <v>1</v>
      </c>
      <c r="F12">
        <v>0</v>
      </c>
      <c r="G12">
        <v>200</v>
      </c>
      <c r="H12">
        <v>2.58022</v>
      </c>
      <c r="I12">
        <v>0.58319</v>
      </c>
      <c r="J12">
        <v>3.6</v>
      </c>
      <c r="K12">
        <v>2735.4</v>
      </c>
      <c r="L12">
        <v>2827.93</v>
      </c>
      <c r="M12">
        <v>-92.533</v>
      </c>
      <c r="N12">
        <v>57.4951</v>
      </c>
    </row>
    <row r="13" spans="1:14" ht="12.75">
      <c r="A13">
        <v>12</v>
      </c>
      <c r="B13" t="s">
        <v>81</v>
      </c>
      <c r="C13">
        <v>4.1</v>
      </c>
      <c r="D13">
        <v>6.39693</v>
      </c>
      <c r="E13">
        <v>0</v>
      </c>
      <c r="F13">
        <v>1</v>
      </c>
      <c r="G13">
        <v>150</v>
      </c>
      <c r="H13">
        <v>3.20275</v>
      </c>
      <c r="I13">
        <v>0.31215</v>
      </c>
      <c r="J13">
        <v>5.4</v>
      </c>
      <c r="K13">
        <v>2694.6</v>
      </c>
      <c r="L13">
        <v>2772.92</v>
      </c>
      <c r="M13">
        <v>-78.32</v>
      </c>
      <c r="N13">
        <v>59.7246</v>
      </c>
    </row>
    <row r="14" spans="1:14" ht="12.75">
      <c r="A14">
        <v>13</v>
      </c>
      <c r="B14" t="s">
        <v>70</v>
      </c>
      <c r="C14">
        <v>4</v>
      </c>
      <c r="D14">
        <v>5.01064</v>
      </c>
      <c r="E14">
        <v>0</v>
      </c>
      <c r="F14">
        <v>0</v>
      </c>
      <c r="G14">
        <v>0</v>
      </c>
      <c r="H14">
        <v>3.10459</v>
      </c>
      <c r="I14">
        <v>0.2639</v>
      </c>
      <c r="J14">
        <v>5.2</v>
      </c>
      <c r="K14">
        <v>1932.3</v>
      </c>
      <c r="L14">
        <v>1878.19</v>
      </c>
      <c r="M14">
        <v>54.112</v>
      </c>
      <c r="N14">
        <v>75.9522</v>
      </c>
    </row>
    <row r="15" spans="1:14" ht="12.75">
      <c r="A15">
        <v>14</v>
      </c>
      <c r="B15" t="s">
        <v>71</v>
      </c>
      <c r="C15">
        <v>4</v>
      </c>
      <c r="D15">
        <v>5.92693</v>
      </c>
      <c r="E15">
        <v>0</v>
      </c>
      <c r="F15">
        <v>0</v>
      </c>
      <c r="G15">
        <v>75</v>
      </c>
      <c r="H15">
        <v>2.02815</v>
      </c>
      <c r="I15">
        <v>0.4916</v>
      </c>
      <c r="J15">
        <v>4.2</v>
      </c>
      <c r="K15">
        <v>2149.5</v>
      </c>
      <c r="L15">
        <v>2002.74</v>
      </c>
      <c r="M15">
        <v>146.764</v>
      </c>
      <c r="N15">
        <v>74.8464</v>
      </c>
    </row>
    <row r="16" spans="1:14" ht="12.75">
      <c r="A16">
        <v>15</v>
      </c>
      <c r="B16" t="s">
        <v>72</v>
      </c>
      <c r="C16">
        <v>4</v>
      </c>
      <c r="D16">
        <v>6.10925</v>
      </c>
      <c r="E16">
        <v>0</v>
      </c>
      <c r="F16">
        <v>0</v>
      </c>
      <c r="G16">
        <v>10</v>
      </c>
      <c r="H16">
        <v>2.83321</v>
      </c>
      <c r="I16">
        <v>0.19346</v>
      </c>
      <c r="J16">
        <v>3.1</v>
      </c>
      <c r="K16">
        <v>1853.1</v>
      </c>
      <c r="L16">
        <v>1806.5</v>
      </c>
      <c r="M16">
        <v>46.605</v>
      </c>
      <c r="N16">
        <v>70.4513</v>
      </c>
    </row>
    <row r="17" spans="1:14" ht="12.75">
      <c r="A17">
        <v>16</v>
      </c>
      <c r="B17" t="s">
        <v>73</v>
      </c>
      <c r="C17">
        <v>3.5</v>
      </c>
      <c r="D17">
        <v>6.10925</v>
      </c>
      <c r="E17">
        <v>0</v>
      </c>
      <c r="F17">
        <v>0</v>
      </c>
      <c r="G17">
        <v>100</v>
      </c>
      <c r="H17">
        <v>2.98062</v>
      </c>
      <c r="I17">
        <v>0.52908</v>
      </c>
      <c r="J17">
        <v>6.8</v>
      </c>
      <c r="K17">
        <v>2339.1</v>
      </c>
      <c r="L17">
        <v>2256.28</v>
      </c>
      <c r="M17">
        <v>82.815</v>
      </c>
      <c r="N17">
        <v>71.985</v>
      </c>
    </row>
    <row r="18" spans="1:14" ht="12.75">
      <c r="A18">
        <v>17</v>
      </c>
      <c r="B18" t="s">
        <v>74</v>
      </c>
      <c r="C18">
        <v>3.7</v>
      </c>
      <c r="D18">
        <v>6.23441</v>
      </c>
      <c r="E18">
        <v>0</v>
      </c>
      <c r="F18">
        <v>0</v>
      </c>
      <c r="G18">
        <v>20</v>
      </c>
      <c r="H18">
        <v>3.03013</v>
      </c>
      <c r="I18">
        <v>0.26723</v>
      </c>
      <c r="J18">
        <v>4.8</v>
      </c>
      <c r="K18">
        <v>1873.2</v>
      </c>
      <c r="L18">
        <v>1889.38</v>
      </c>
      <c r="M18">
        <v>-16.184</v>
      </c>
      <c r="N18">
        <v>70.619</v>
      </c>
    </row>
    <row r="19" spans="1:14" ht="12.75">
      <c r="A19">
        <v>18</v>
      </c>
      <c r="B19" t="s">
        <v>75</v>
      </c>
      <c r="C19">
        <v>3.5</v>
      </c>
      <c r="D19">
        <v>5.59842</v>
      </c>
      <c r="E19">
        <v>0</v>
      </c>
      <c r="F19">
        <v>0</v>
      </c>
      <c r="G19">
        <v>40</v>
      </c>
      <c r="H19">
        <v>1.8563</v>
      </c>
      <c r="I19">
        <v>0.22715</v>
      </c>
      <c r="J19">
        <v>4.1</v>
      </c>
      <c r="K19">
        <v>1775.4</v>
      </c>
      <c r="L19">
        <v>1787.13</v>
      </c>
      <c r="M19">
        <v>-11.726</v>
      </c>
      <c r="N19">
        <v>72.7864</v>
      </c>
    </row>
    <row r="20" spans="1:14" ht="12.75">
      <c r="A20">
        <v>19</v>
      </c>
      <c r="B20" t="s">
        <v>76</v>
      </c>
      <c r="C20">
        <v>4.6</v>
      </c>
      <c r="D20">
        <v>5.01064</v>
      </c>
      <c r="E20">
        <v>0</v>
      </c>
      <c r="F20">
        <v>0</v>
      </c>
      <c r="G20">
        <v>0</v>
      </c>
      <c r="H20">
        <v>3.03013</v>
      </c>
      <c r="I20">
        <v>-0.21731</v>
      </c>
      <c r="J20">
        <v>6.6</v>
      </c>
      <c r="K20">
        <v>1868.7</v>
      </c>
      <c r="L20">
        <v>1873.76</v>
      </c>
      <c r="M20">
        <v>-5.059</v>
      </c>
      <c r="N20">
        <v>71.1472</v>
      </c>
    </row>
    <row r="21" spans="1:14" ht="12.75">
      <c r="A21">
        <v>20</v>
      </c>
      <c r="B21" t="s">
        <v>77</v>
      </c>
      <c r="C21">
        <v>4.2</v>
      </c>
      <c r="D21">
        <v>5.01064</v>
      </c>
      <c r="E21">
        <v>0</v>
      </c>
      <c r="F21">
        <v>0</v>
      </c>
      <c r="G21">
        <v>10</v>
      </c>
      <c r="H21">
        <v>2.5337</v>
      </c>
      <c r="I21">
        <v>-0.2874</v>
      </c>
      <c r="J21">
        <v>4.4</v>
      </c>
      <c r="K21">
        <v>1811.1</v>
      </c>
      <c r="L21">
        <v>1806.93</v>
      </c>
      <c r="M21">
        <v>4.165</v>
      </c>
      <c r="N21">
        <v>77.3869</v>
      </c>
    </row>
    <row r="22" spans="1:14" ht="12.75">
      <c r="A22">
        <v>21</v>
      </c>
      <c r="B22" t="s">
        <v>78</v>
      </c>
      <c r="C22">
        <v>4.1</v>
      </c>
      <c r="D22">
        <v>6.39693</v>
      </c>
      <c r="E22">
        <v>0</v>
      </c>
      <c r="F22">
        <v>0</v>
      </c>
      <c r="G22">
        <v>150</v>
      </c>
      <c r="H22">
        <v>2.48491</v>
      </c>
      <c r="I22">
        <v>-0.02742</v>
      </c>
      <c r="J22">
        <v>4.6</v>
      </c>
      <c r="K22">
        <v>2275.8</v>
      </c>
      <c r="L22">
        <v>2303.48</v>
      </c>
      <c r="M22">
        <v>-27.681</v>
      </c>
      <c r="N22">
        <v>70.9489</v>
      </c>
    </row>
    <row r="23" spans="1:14" ht="12.75">
      <c r="A23">
        <v>22</v>
      </c>
      <c r="B23" t="s">
        <v>79</v>
      </c>
      <c r="C23">
        <v>4</v>
      </c>
      <c r="D23">
        <v>5.01064</v>
      </c>
      <c r="E23">
        <v>0</v>
      </c>
      <c r="F23">
        <v>0</v>
      </c>
      <c r="G23">
        <v>0</v>
      </c>
      <c r="H23">
        <v>3.18221</v>
      </c>
      <c r="I23">
        <v>-0.70413</v>
      </c>
      <c r="J23">
        <v>4</v>
      </c>
      <c r="K23">
        <v>1903.8</v>
      </c>
      <c r="L23">
        <v>1803.07</v>
      </c>
      <c r="M23">
        <v>100.727</v>
      </c>
      <c r="N23">
        <v>69.612</v>
      </c>
    </row>
    <row r="24" spans="1:14" ht="12.75">
      <c r="A24">
        <v>23</v>
      </c>
      <c r="B24" t="s">
        <v>80</v>
      </c>
      <c r="C24">
        <v>4</v>
      </c>
      <c r="D24">
        <v>6.39693</v>
      </c>
      <c r="E24">
        <v>1</v>
      </c>
      <c r="F24">
        <v>0</v>
      </c>
      <c r="G24">
        <v>150</v>
      </c>
      <c r="H24">
        <v>3.19867</v>
      </c>
      <c r="I24">
        <v>0.4983</v>
      </c>
      <c r="J24">
        <v>6</v>
      </c>
      <c r="K24">
        <v>2805</v>
      </c>
      <c r="L24">
        <v>2785.66</v>
      </c>
      <c r="M24">
        <v>19.344</v>
      </c>
      <c r="N24">
        <v>59.6693</v>
      </c>
    </row>
    <row r="25" spans="1:14" ht="12.75">
      <c r="A25">
        <v>24</v>
      </c>
      <c r="B25" t="s">
        <v>81</v>
      </c>
      <c r="C25">
        <v>4</v>
      </c>
      <c r="D25">
        <v>6.62007</v>
      </c>
      <c r="E25">
        <v>0</v>
      </c>
      <c r="F25">
        <v>1</v>
      </c>
      <c r="G25">
        <v>20</v>
      </c>
      <c r="H25">
        <v>2.31254</v>
      </c>
      <c r="I25">
        <v>0.19687</v>
      </c>
      <c r="J25">
        <v>3.7</v>
      </c>
      <c r="K25">
        <v>2024.4</v>
      </c>
      <c r="L25">
        <v>2034.37</v>
      </c>
      <c r="M25">
        <v>-9.97</v>
      </c>
      <c r="N25">
        <v>54.4641</v>
      </c>
    </row>
    <row r="26" spans="1:14" ht="12.75">
      <c r="A26">
        <v>25</v>
      </c>
      <c r="B26" t="s">
        <v>70</v>
      </c>
      <c r="C26">
        <v>3.5</v>
      </c>
      <c r="D26">
        <v>5.48064</v>
      </c>
      <c r="E26">
        <v>0</v>
      </c>
      <c r="F26">
        <v>0</v>
      </c>
      <c r="G26">
        <v>30</v>
      </c>
      <c r="H26">
        <v>3.11352</v>
      </c>
      <c r="I26">
        <v>0.60094</v>
      </c>
      <c r="J26">
        <v>5.7</v>
      </c>
      <c r="K26">
        <v>2006.1</v>
      </c>
      <c r="L26">
        <v>2027.61</v>
      </c>
      <c r="M26">
        <v>-21.507</v>
      </c>
      <c r="N26">
        <v>74.5906</v>
      </c>
    </row>
    <row r="27" spans="1:14" ht="12.75">
      <c r="A27">
        <v>26</v>
      </c>
      <c r="B27" t="s">
        <v>71</v>
      </c>
      <c r="C27">
        <v>5</v>
      </c>
      <c r="D27">
        <v>5.01064</v>
      </c>
      <c r="E27">
        <v>0</v>
      </c>
      <c r="F27">
        <v>0</v>
      </c>
      <c r="G27">
        <v>0</v>
      </c>
      <c r="H27">
        <v>3.03495</v>
      </c>
      <c r="I27">
        <v>-0.35383</v>
      </c>
      <c r="J27">
        <v>4.9</v>
      </c>
      <c r="K27">
        <v>1980.3</v>
      </c>
      <c r="L27">
        <v>1877.54</v>
      </c>
      <c r="M27">
        <v>102.762</v>
      </c>
      <c r="N27">
        <v>76.5725</v>
      </c>
    </row>
    <row r="28" spans="1:14" ht="12.75">
      <c r="A28">
        <v>27</v>
      </c>
      <c r="B28" t="s">
        <v>72</v>
      </c>
      <c r="C28">
        <v>5.4</v>
      </c>
      <c r="D28">
        <v>5.70378</v>
      </c>
      <c r="E28">
        <v>0</v>
      </c>
      <c r="F28">
        <v>0</v>
      </c>
      <c r="G28">
        <v>50</v>
      </c>
      <c r="H28">
        <v>2.94444</v>
      </c>
      <c r="I28">
        <v>0.61599</v>
      </c>
      <c r="J28">
        <v>5.3</v>
      </c>
      <c r="K28">
        <v>2212.5</v>
      </c>
      <c r="L28">
        <v>2196.8</v>
      </c>
      <c r="M28">
        <v>15.699</v>
      </c>
      <c r="N28">
        <v>77.2699</v>
      </c>
    </row>
    <row r="29" spans="1:14" ht="12.75">
      <c r="A29">
        <v>28</v>
      </c>
      <c r="B29" t="s">
        <v>73</v>
      </c>
      <c r="C29">
        <v>6.1</v>
      </c>
      <c r="D29">
        <v>5.70378</v>
      </c>
      <c r="E29">
        <v>0</v>
      </c>
      <c r="F29">
        <v>0</v>
      </c>
      <c r="G29">
        <v>50</v>
      </c>
      <c r="H29">
        <v>1.64866</v>
      </c>
      <c r="I29">
        <v>0.16666</v>
      </c>
      <c r="J29">
        <v>6.5</v>
      </c>
      <c r="K29">
        <v>1926</v>
      </c>
      <c r="L29">
        <v>1970.34</v>
      </c>
      <c r="M29">
        <v>-44.339</v>
      </c>
      <c r="N29">
        <v>63.1554</v>
      </c>
    </row>
    <row r="30" spans="1:14" ht="12.75">
      <c r="A30">
        <v>29</v>
      </c>
      <c r="B30" t="s">
        <v>74</v>
      </c>
      <c r="C30">
        <v>6.8</v>
      </c>
      <c r="D30">
        <v>5.01064</v>
      </c>
      <c r="E30">
        <v>0</v>
      </c>
      <c r="F30">
        <v>0</v>
      </c>
      <c r="G30">
        <v>0</v>
      </c>
      <c r="H30">
        <v>2.89591</v>
      </c>
      <c r="I30">
        <v>0.21172</v>
      </c>
      <c r="J30">
        <v>4.8</v>
      </c>
      <c r="K30">
        <v>2019</v>
      </c>
      <c r="L30">
        <v>2017.47</v>
      </c>
      <c r="M30">
        <v>1.527</v>
      </c>
      <c r="N30">
        <v>73.1799</v>
      </c>
    </row>
    <row r="31" spans="1:14" ht="12.75">
      <c r="A31">
        <v>30</v>
      </c>
      <c r="B31" t="s">
        <v>75</v>
      </c>
      <c r="C31">
        <v>7</v>
      </c>
      <c r="D31">
        <v>5.01064</v>
      </c>
      <c r="E31">
        <v>0</v>
      </c>
      <c r="F31">
        <v>0</v>
      </c>
      <c r="G31">
        <v>85</v>
      </c>
      <c r="H31">
        <v>2.91235</v>
      </c>
      <c r="I31">
        <v>-0.38815</v>
      </c>
      <c r="J31">
        <v>4.5</v>
      </c>
      <c r="K31">
        <v>2403.3</v>
      </c>
      <c r="L31">
        <v>2398.69</v>
      </c>
      <c r="M31">
        <v>4.606</v>
      </c>
      <c r="N31">
        <v>70.5672</v>
      </c>
    </row>
    <row r="32" spans="1:14" ht="12.75">
      <c r="A32">
        <v>31</v>
      </c>
      <c r="B32" t="s">
        <v>76</v>
      </c>
      <c r="C32">
        <v>7.4</v>
      </c>
      <c r="D32">
        <v>5.01064</v>
      </c>
      <c r="E32">
        <v>0</v>
      </c>
      <c r="F32">
        <v>0</v>
      </c>
      <c r="G32">
        <v>25</v>
      </c>
      <c r="H32">
        <v>3.10459</v>
      </c>
      <c r="I32">
        <v>0.45159</v>
      </c>
      <c r="J32">
        <v>5.6</v>
      </c>
      <c r="K32">
        <v>2204.4</v>
      </c>
      <c r="L32">
        <v>2278.74</v>
      </c>
      <c r="M32">
        <v>-74.336</v>
      </c>
      <c r="N32">
        <v>74.1423</v>
      </c>
    </row>
    <row r="33" spans="1:14" ht="12.75">
      <c r="A33">
        <v>32</v>
      </c>
      <c r="B33" t="s">
        <v>77</v>
      </c>
      <c r="C33">
        <v>7.3</v>
      </c>
      <c r="D33">
        <v>5.92693</v>
      </c>
      <c r="E33">
        <v>0</v>
      </c>
      <c r="F33">
        <v>0</v>
      </c>
      <c r="G33">
        <v>75</v>
      </c>
      <c r="H33">
        <v>1.91692</v>
      </c>
      <c r="I33">
        <v>-0.10285</v>
      </c>
      <c r="J33">
        <v>3.8</v>
      </c>
      <c r="K33">
        <v>2216.7</v>
      </c>
      <c r="L33">
        <v>2148.12</v>
      </c>
      <c r="M33">
        <v>68.579</v>
      </c>
      <c r="N33">
        <v>72.6847</v>
      </c>
    </row>
    <row r="34" spans="1:14" ht="12.75">
      <c r="A34">
        <v>33</v>
      </c>
      <c r="B34" t="s">
        <v>78</v>
      </c>
      <c r="C34">
        <v>7.5</v>
      </c>
      <c r="D34">
        <v>5.01064</v>
      </c>
      <c r="E34">
        <v>0</v>
      </c>
      <c r="F34">
        <v>0</v>
      </c>
      <c r="G34">
        <v>0</v>
      </c>
      <c r="H34">
        <v>3.26576</v>
      </c>
      <c r="I34">
        <v>0.51121</v>
      </c>
      <c r="J34">
        <v>5</v>
      </c>
      <c r="K34">
        <v>2082.6</v>
      </c>
      <c r="L34">
        <v>2160.07</v>
      </c>
      <c r="M34">
        <v>-77.474</v>
      </c>
      <c r="N34">
        <v>67.2595</v>
      </c>
    </row>
    <row r="35" spans="1:14" ht="12.75">
      <c r="A35">
        <v>34</v>
      </c>
      <c r="B35" t="s">
        <v>79</v>
      </c>
      <c r="C35">
        <v>7.2</v>
      </c>
      <c r="D35">
        <v>6.2634</v>
      </c>
      <c r="E35">
        <v>0</v>
      </c>
      <c r="F35">
        <v>0</v>
      </c>
      <c r="G35">
        <v>125</v>
      </c>
      <c r="H35">
        <v>3.23868</v>
      </c>
      <c r="I35">
        <v>0.398</v>
      </c>
      <c r="J35">
        <v>3.9</v>
      </c>
      <c r="K35">
        <v>2635.8</v>
      </c>
      <c r="L35">
        <v>2601.25</v>
      </c>
      <c r="M35">
        <v>34.554</v>
      </c>
      <c r="N35">
        <v>66.0817</v>
      </c>
    </row>
    <row r="36" spans="1:14" ht="12.75">
      <c r="A36">
        <v>35</v>
      </c>
      <c r="B36" t="s">
        <v>80</v>
      </c>
      <c r="C36">
        <v>8</v>
      </c>
      <c r="D36">
        <v>6.10925</v>
      </c>
      <c r="E36">
        <v>1</v>
      </c>
      <c r="F36">
        <v>0</v>
      </c>
      <c r="G36">
        <v>100</v>
      </c>
      <c r="H36">
        <v>2.17475</v>
      </c>
      <c r="I36">
        <v>0.06691</v>
      </c>
      <c r="J36">
        <v>3.6</v>
      </c>
      <c r="K36">
        <v>2715</v>
      </c>
      <c r="L36">
        <v>2641.81</v>
      </c>
      <c r="M36">
        <v>73.189</v>
      </c>
      <c r="N36">
        <v>55.5279</v>
      </c>
    </row>
    <row r="37" spans="1:14" ht="12.75">
      <c r="A37">
        <v>36</v>
      </c>
      <c r="B37" t="s">
        <v>81</v>
      </c>
      <c r="C37">
        <v>8.4</v>
      </c>
      <c r="D37">
        <v>6.10925</v>
      </c>
      <c r="E37">
        <v>0</v>
      </c>
      <c r="F37">
        <v>1</v>
      </c>
      <c r="G37">
        <v>100</v>
      </c>
      <c r="H37">
        <v>3.25424</v>
      </c>
      <c r="I37">
        <v>-0.07056</v>
      </c>
      <c r="J37">
        <v>6.6</v>
      </c>
      <c r="K37">
        <v>2969.7</v>
      </c>
      <c r="L37">
        <v>2881.41</v>
      </c>
      <c r="M37">
        <v>88.291</v>
      </c>
      <c r="N37">
        <v>56.1658</v>
      </c>
    </row>
    <row r="38" spans="1:14" ht="12.75">
      <c r="A38">
        <v>37</v>
      </c>
      <c r="B38" t="s">
        <v>70</v>
      </c>
      <c r="C38">
        <v>8.3</v>
      </c>
      <c r="D38">
        <v>5.70378</v>
      </c>
      <c r="E38">
        <v>0</v>
      </c>
      <c r="F38">
        <v>0</v>
      </c>
      <c r="G38">
        <v>50</v>
      </c>
      <c r="H38">
        <v>2.61007</v>
      </c>
      <c r="I38">
        <v>0.13293</v>
      </c>
      <c r="J38">
        <v>3.4</v>
      </c>
      <c r="K38" t="s">
        <v>88</v>
      </c>
      <c r="L38">
        <v>2272.17</v>
      </c>
      <c r="M38" t="s">
        <v>88</v>
      </c>
      <c r="N38" t="s">
        <v>88</v>
      </c>
    </row>
    <row r="39" spans="1:14" ht="12.75">
      <c r="A39">
        <v>38</v>
      </c>
      <c r="B39" t="s">
        <v>71</v>
      </c>
      <c r="C39">
        <v>8.5</v>
      </c>
      <c r="D39">
        <v>5.01064</v>
      </c>
      <c r="E39">
        <v>0</v>
      </c>
      <c r="F39">
        <v>0</v>
      </c>
      <c r="G39">
        <v>30</v>
      </c>
      <c r="H39">
        <v>3.06339</v>
      </c>
      <c r="I39">
        <v>-0.43546</v>
      </c>
      <c r="J39">
        <v>5.8</v>
      </c>
      <c r="K39" t="s">
        <v>88</v>
      </c>
      <c r="L39">
        <v>2295.75</v>
      </c>
      <c r="M39" t="s">
        <v>88</v>
      </c>
      <c r="N39" t="s">
        <v>88</v>
      </c>
    </row>
    <row r="40" spans="1:14" ht="12.75">
      <c r="A40">
        <v>39</v>
      </c>
      <c r="B40" t="s">
        <v>72</v>
      </c>
      <c r="C40">
        <v>8.8</v>
      </c>
      <c r="D40">
        <v>5.01064</v>
      </c>
      <c r="E40">
        <v>0</v>
      </c>
      <c r="F40">
        <v>0</v>
      </c>
      <c r="G40">
        <v>10</v>
      </c>
      <c r="H40">
        <v>2.76632</v>
      </c>
      <c r="I40">
        <v>0.4582</v>
      </c>
      <c r="J40">
        <v>6.6</v>
      </c>
      <c r="K40" t="s">
        <v>88</v>
      </c>
      <c r="L40">
        <v>2234.28</v>
      </c>
      <c r="M40" t="s">
        <v>88</v>
      </c>
      <c r="N40" t="s">
        <v>88</v>
      </c>
    </row>
    <row r="41" spans="1:14" ht="12.75">
      <c r="A41">
        <v>40</v>
      </c>
      <c r="B41" t="s">
        <v>73</v>
      </c>
      <c r="C41">
        <v>8.5</v>
      </c>
      <c r="D41">
        <v>6.51471</v>
      </c>
      <c r="E41">
        <v>0</v>
      </c>
      <c r="F41">
        <v>0</v>
      </c>
      <c r="G41">
        <v>175</v>
      </c>
      <c r="H41">
        <v>2.2192</v>
      </c>
      <c r="I41">
        <v>-0.09101</v>
      </c>
      <c r="J41">
        <v>6.8</v>
      </c>
      <c r="K41" t="s">
        <v>88</v>
      </c>
      <c r="L41">
        <v>2634.56</v>
      </c>
      <c r="M41" t="s">
        <v>88</v>
      </c>
      <c r="N41" t="s">
        <v>88</v>
      </c>
    </row>
    <row r="42" spans="1:14" ht="12.75">
      <c r="A42">
        <v>41</v>
      </c>
      <c r="B42" t="s">
        <v>74</v>
      </c>
      <c r="C42">
        <v>8.2</v>
      </c>
      <c r="D42">
        <v>5.01064</v>
      </c>
      <c r="E42">
        <v>0</v>
      </c>
      <c r="F42">
        <v>0</v>
      </c>
      <c r="G42">
        <v>10</v>
      </c>
      <c r="H42">
        <v>3.18635</v>
      </c>
      <c r="I42">
        <v>0.45566</v>
      </c>
      <c r="J42">
        <v>4.1</v>
      </c>
      <c r="K42" t="s">
        <v>88</v>
      </c>
      <c r="L42">
        <v>2255.32</v>
      </c>
      <c r="M42" t="s">
        <v>88</v>
      </c>
      <c r="N42" t="s">
        <v>88</v>
      </c>
    </row>
    <row r="43" spans="1:14" ht="12.75">
      <c r="A43">
        <v>42</v>
      </c>
      <c r="B43" t="s">
        <v>75</v>
      </c>
      <c r="C43">
        <v>8</v>
      </c>
      <c r="D43">
        <v>6.53669</v>
      </c>
      <c r="E43">
        <v>0</v>
      </c>
      <c r="F43">
        <v>0</v>
      </c>
      <c r="G43">
        <v>180</v>
      </c>
      <c r="H43">
        <v>3.12236</v>
      </c>
      <c r="I43">
        <v>0.36384</v>
      </c>
      <c r="J43">
        <v>3.6</v>
      </c>
      <c r="K43" t="s">
        <v>88</v>
      </c>
      <c r="L43">
        <v>2801.97</v>
      </c>
      <c r="M43" t="s">
        <v>88</v>
      </c>
      <c r="N43" t="s">
        <v>88</v>
      </c>
    </row>
    <row r="44" spans="1:14" ht="12.75">
      <c r="A44">
        <v>43</v>
      </c>
      <c r="B44" t="s">
        <v>76</v>
      </c>
      <c r="C44">
        <v>8.1</v>
      </c>
      <c r="D44">
        <v>5.01064</v>
      </c>
      <c r="E44">
        <v>0</v>
      </c>
      <c r="F44">
        <v>0</v>
      </c>
      <c r="G44">
        <v>50</v>
      </c>
      <c r="H44">
        <v>2.56495</v>
      </c>
      <c r="I44">
        <v>-0.19221</v>
      </c>
      <c r="J44">
        <v>6</v>
      </c>
      <c r="K44" t="s">
        <v>88</v>
      </c>
      <c r="L44">
        <v>2288.87</v>
      </c>
      <c r="M44" t="s">
        <v>88</v>
      </c>
      <c r="N44" t="s">
        <v>88</v>
      </c>
    </row>
    <row r="45" spans="1:14" ht="12.75">
      <c r="A45">
        <v>44</v>
      </c>
      <c r="B45" t="s">
        <v>77</v>
      </c>
      <c r="C45">
        <v>7.9</v>
      </c>
      <c r="D45">
        <v>6.10925</v>
      </c>
      <c r="E45">
        <v>0</v>
      </c>
      <c r="F45">
        <v>0</v>
      </c>
      <c r="G45">
        <v>25</v>
      </c>
      <c r="H45">
        <v>3.08191</v>
      </c>
      <c r="I45">
        <v>0.47988</v>
      </c>
      <c r="J45">
        <v>4.8</v>
      </c>
      <c r="K45" t="s">
        <v>88</v>
      </c>
      <c r="L45">
        <v>2229.79</v>
      </c>
      <c r="M45" t="s">
        <v>88</v>
      </c>
      <c r="N45" t="s">
        <v>88</v>
      </c>
    </row>
    <row r="46" spans="1:14" ht="12.75">
      <c r="A46">
        <v>45</v>
      </c>
      <c r="B46" t="s">
        <v>78</v>
      </c>
      <c r="C46">
        <v>8.2</v>
      </c>
      <c r="D46">
        <v>6.10925</v>
      </c>
      <c r="E46">
        <v>0</v>
      </c>
      <c r="F46">
        <v>0</v>
      </c>
      <c r="G46">
        <v>125</v>
      </c>
      <c r="H46">
        <v>1.98787</v>
      </c>
      <c r="I46">
        <v>0.03308</v>
      </c>
      <c r="J46">
        <v>4.8</v>
      </c>
      <c r="K46" t="s">
        <v>88</v>
      </c>
      <c r="L46">
        <v>2418.52</v>
      </c>
      <c r="M46" t="s">
        <v>88</v>
      </c>
      <c r="N46" t="s">
        <v>88</v>
      </c>
    </row>
    <row r="47" spans="1:14" ht="12.75">
      <c r="A47">
        <v>46</v>
      </c>
      <c r="B47" t="s">
        <v>79</v>
      </c>
      <c r="C47">
        <v>8.4</v>
      </c>
      <c r="D47">
        <v>6.62007</v>
      </c>
      <c r="E47">
        <v>0</v>
      </c>
      <c r="F47">
        <v>0</v>
      </c>
      <c r="G47">
        <v>185</v>
      </c>
      <c r="H47">
        <v>3.00568</v>
      </c>
      <c r="I47">
        <v>0.58396</v>
      </c>
      <c r="J47">
        <v>4.4</v>
      </c>
      <c r="K47" t="s">
        <v>88</v>
      </c>
      <c r="L47">
        <v>2842.01</v>
      </c>
      <c r="M47" t="s">
        <v>88</v>
      </c>
      <c r="N47" t="s">
        <v>88</v>
      </c>
    </row>
    <row r="48" spans="1:14" ht="12.75">
      <c r="A48">
        <v>47</v>
      </c>
      <c r="B48" t="s">
        <v>80</v>
      </c>
      <c r="C48">
        <v>8.3</v>
      </c>
      <c r="D48">
        <v>6.39693</v>
      </c>
      <c r="E48">
        <v>1</v>
      </c>
      <c r="F48">
        <v>0</v>
      </c>
      <c r="G48">
        <v>150</v>
      </c>
      <c r="H48">
        <v>2.8792</v>
      </c>
      <c r="I48">
        <v>-0.34592</v>
      </c>
      <c r="J48">
        <v>6.1</v>
      </c>
      <c r="K48" t="s">
        <v>88</v>
      </c>
      <c r="L48">
        <v>2940.88</v>
      </c>
      <c r="M48" t="s">
        <v>88</v>
      </c>
      <c r="N48" t="s">
        <v>88</v>
      </c>
    </row>
    <row r="49" spans="1:13" ht="12.75">
      <c r="A49">
        <v>48</v>
      </c>
      <c r="B49" t="s">
        <v>81</v>
      </c>
      <c r="C49">
        <v>8.5</v>
      </c>
      <c r="D49">
        <v>6.39693</v>
      </c>
      <c r="E49">
        <v>0</v>
      </c>
      <c r="F49">
        <v>1</v>
      </c>
      <c r="G49">
        <v>190</v>
      </c>
      <c r="H49">
        <v>2.09186</v>
      </c>
      <c r="I49">
        <v>0.48646</v>
      </c>
      <c r="J49">
        <v>4.5</v>
      </c>
      <c r="K49" t="s">
        <v>88</v>
      </c>
      <c r="L49">
        <v>3001.25</v>
      </c>
      <c r="M49" t="s">
        <v>88</v>
      </c>
    </row>
  </sheetData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8">
      <selection activeCell="G54" sqref="G54"/>
    </sheetView>
  </sheetViews>
  <sheetFormatPr defaultColWidth="11.421875" defaultRowHeight="12.75"/>
  <sheetData>
    <row r="1" spans="1:11" ht="12.75">
      <c r="A1" t="s">
        <v>0</v>
      </c>
      <c r="B1" t="s">
        <v>1</v>
      </c>
      <c r="C1" t="s">
        <v>2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51</v>
      </c>
      <c r="J1" t="s">
        <v>53</v>
      </c>
      <c r="K1" t="s">
        <v>66</v>
      </c>
    </row>
    <row r="2" spans="1:12" ht="12.75">
      <c r="A2" s="1">
        <v>40544</v>
      </c>
      <c r="B2">
        <v>5</v>
      </c>
      <c r="C2">
        <v>150</v>
      </c>
      <c r="D2">
        <v>75</v>
      </c>
      <c r="E2">
        <v>25.7</v>
      </c>
      <c r="F2">
        <v>1.5055943710113566</v>
      </c>
      <c r="G2">
        <v>5.6000000000000005</v>
      </c>
      <c r="H2">
        <v>8.14</v>
      </c>
      <c r="I2" s="48">
        <v>2369.67</v>
      </c>
      <c r="J2" s="49">
        <v>72.332</v>
      </c>
      <c r="K2">
        <f aca="true" t="shared" si="0" ref="K2:K49">H2*$L$2</f>
        <v>2442</v>
      </c>
      <c r="L2">
        <v>300</v>
      </c>
    </row>
    <row r="3" spans="1:11" ht="12.75">
      <c r="A3" s="1">
        <v>40575</v>
      </c>
      <c r="B3">
        <v>5.1</v>
      </c>
      <c r="C3">
        <v>450</v>
      </c>
      <c r="D3">
        <v>125</v>
      </c>
      <c r="E3">
        <v>13.8</v>
      </c>
      <c r="F3">
        <v>1.6457461718917568</v>
      </c>
      <c r="G3">
        <v>5.1000000000000005</v>
      </c>
      <c r="H3">
        <v>7.952</v>
      </c>
      <c r="I3" s="48">
        <v>2332.16</v>
      </c>
      <c r="J3" s="49">
        <v>53.445</v>
      </c>
      <c r="K3">
        <f t="shared" si="0"/>
        <v>2385.6</v>
      </c>
    </row>
    <row r="4" spans="1:11" ht="12.75">
      <c r="A4" s="1">
        <v>40603</v>
      </c>
      <c r="B4">
        <v>5.1</v>
      </c>
      <c r="C4">
        <v>150</v>
      </c>
      <c r="D4">
        <v>20</v>
      </c>
      <c r="E4">
        <v>15.3</v>
      </c>
      <c r="F4">
        <v>0.6168186397528711</v>
      </c>
      <c r="G4">
        <v>4.3999999999999995</v>
      </c>
      <c r="H4">
        <v>5.883</v>
      </c>
      <c r="I4" s="48">
        <v>1963.07</v>
      </c>
      <c r="J4" s="49">
        <v>-198.173</v>
      </c>
      <c r="K4">
        <f t="shared" si="0"/>
        <v>1764.9</v>
      </c>
    </row>
    <row r="5" spans="1:11" ht="12.75">
      <c r="A5" s="1">
        <v>40634</v>
      </c>
      <c r="B5">
        <v>5.2</v>
      </c>
      <c r="C5">
        <v>300</v>
      </c>
      <c r="D5">
        <v>10</v>
      </c>
      <c r="E5">
        <v>19.7</v>
      </c>
      <c r="F5">
        <v>1.1220742282100762</v>
      </c>
      <c r="G5">
        <v>5.699999999999999</v>
      </c>
      <c r="H5">
        <v>6.059</v>
      </c>
      <c r="I5" s="48">
        <v>1922.96</v>
      </c>
      <c r="J5" s="49">
        <v>-105.26</v>
      </c>
      <c r="K5">
        <f t="shared" si="0"/>
        <v>1817.7</v>
      </c>
    </row>
    <row r="6" spans="1:11" ht="12.75">
      <c r="A6" s="1">
        <v>40664</v>
      </c>
      <c r="B6">
        <v>5.4</v>
      </c>
      <c r="C6">
        <v>510</v>
      </c>
      <c r="D6">
        <v>120</v>
      </c>
      <c r="E6">
        <v>12</v>
      </c>
      <c r="F6">
        <v>0.9260286185648903</v>
      </c>
      <c r="G6">
        <v>4.1</v>
      </c>
      <c r="H6">
        <v>7.346</v>
      </c>
      <c r="I6" s="48">
        <v>2245.06</v>
      </c>
      <c r="J6" s="49">
        <v>-41.264</v>
      </c>
      <c r="K6">
        <f t="shared" si="0"/>
        <v>2203.8</v>
      </c>
    </row>
    <row r="7" spans="1:11" ht="12.75">
      <c r="A7" s="1">
        <v>40695</v>
      </c>
      <c r="B7">
        <v>5.4</v>
      </c>
      <c r="C7">
        <v>450</v>
      </c>
      <c r="D7">
        <v>100</v>
      </c>
      <c r="E7">
        <v>11.6</v>
      </c>
      <c r="F7">
        <v>0.7426349177076764</v>
      </c>
      <c r="G7">
        <v>6</v>
      </c>
      <c r="H7">
        <v>7.367</v>
      </c>
      <c r="I7" s="48">
        <v>2157.38</v>
      </c>
      <c r="J7" s="49">
        <v>52.721</v>
      </c>
      <c r="K7">
        <f t="shared" si="0"/>
        <v>2210.1</v>
      </c>
    </row>
    <row r="8" spans="1:11" ht="12.75">
      <c r="A8" s="1">
        <v>40725</v>
      </c>
      <c r="B8">
        <v>5.3</v>
      </c>
      <c r="C8">
        <v>150</v>
      </c>
      <c r="D8">
        <v>50</v>
      </c>
      <c r="E8">
        <v>9.4</v>
      </c>
      <c r="F8">
        <v>1.2781527455690473</v>
      </c>
      <c r="G8">
        <v>5.2</v>
      </c>
      <c r="H8">
        <v>6.777</v>
      </c>
      <c r="I8" s="48">
        <v>2085.57</v>
      </c>
      <c r="J8" s="49">
        <v>-52.468</v>
      </c>
      <c r="K8">
        <f t="shared" si="0"/>
        <v>2033.1000000000001</v>
      </c>
    </row>
    <row r="9" spans="1:11" ht="12.75">
      <c r="A9" s="1">
        <v>40756</v>
      </c>
      <c r="B9">
        <v>5</v>
      </c>
      <c r="C9">
        <v>225</v>
      </c>
      <c r="D9">
        <v>15</v>
      </c>
      <c r="E9">
        <v>18.4</v>
      </c>
      <c r="F9">
        <v>0.8209089224237444</v>
      </c>
      <c r="G9">
        <v>4.1</v>
      </c>
      <c r="H9">
        <v>6.129</v>
      </c>
      <c r="I9" s="48">
        <v>1944.61</v>
      </c>
      <c r="J9" s="49">
        <v>-105.915</v>
      </c>
      <c r="K9">
        <f t="shared" si="0"/>
        <v>1838.6999999999998</v>
      </c>
    </row>
    <row r="10" spans="1:11" ht="12.75">
      <c r="A10" s="1">
        <v>40787</v>
      </c>
      <c r="B10">
        <v>4.8</v>
      </c>
      <c r="C10">
        <v>150</v>
      </c>
      <c r="D10">
        <v>40</v>
      </c>
      <c r="E10">
        <v>22.6</v>
      </c>
      <c r="F10">
        <v>0.9645078063747154</v>
      </c>
      <c r="G10">
        <v>5.1000000000000005</v>
      </c>
      <c r="H10">
        <v>7.153</v>
      </c>
      <c r="I10" s="48">
        <v>2156.02</v>
      </c>
      <c r="J10" s="49">
        <v>-10.12</v>
      </c>
      <c r="K10">
        <f t="shared" si="0"/>
        <v>2145.9</v>
      </c>
    </row>
    <row r="11" spans="1:11" ht="12.75">
      <c r="A11" s="1">
        <v>40817</v>
      </c>
      <c r="B11">
        <v>4.6</v>
      </c>
      <c r="C11">
        <v>150</v>
      </c>
      <c r="D11">
        <v>0</v>
      </c>
      <c r="E11">
        <v>18.2</v>
      </c>
      <c r="F11">
        <v>1.0404275032411445</v>
      </c>
      <c r="G11">
        <v>5</v>
      </c>
      <c r="H11">
        <v>6.355</v>
      </c>
      <c r="I11" s="48">
        <v>1861.74</v>
      </c>
      <c r="J11" s="49">
        <v>44.759</v>
      </c>
      <c r="K11">
        <f t="shared" si="0"/>
        <v>1906.5000000000002</v>
      </c>
    </row>
    <row r="12" spans="1:11" ht="12.75">
      <c r="A12" s="1">
        <v>40848</v>
      </c>
      <c r="B12">
        <v>4.2</v>
      </c>
      <c r="C12">
        <v>750</v>
      </c>
      <c r="D12">
        <v>200</v>
      </c>
      <c r="E12">
        <v>13.2</v>
      </c>
      <c r="F12">
        <v>1.7917420166345182</v>
      </c>
      <c r="G12">
        <v>3.5999999999999996</v>
      </c>
      <c r="H12">
        <v>9.118</v>
      </c>
      <c r="I12" s="48">
        <v>2837.14</v>
      </c>
      <c r="J12" s="49">
        <v>-101.736</v>
      </c>
      <c r="K12">
        <f t="shared" si="0"/>
        <v>2735.4</v>
      </c>
    </row>
    <row r="13" spans="1:11" ht="12.75">
      <c r="A13" s="1">
        <v>40878</v>
      </c>
      <c r="B13">
        <v>4.1</v>
      </c>
      <c r="C13">
        <v>600</v>
      </c>
      <c r="D13">
        <v>150</v>
      </c>
      <c r="E13">
        <v>24.6</v>
      </c>
      <c r="F13">
        <v>1.3663566787235824</v>
      </c>
      <c r="G13">
        <v>5.4</v>
      </c>
      <c r="H13">
        <v>8.982</v>
      </c>
      <c r="I13" s="48">
        <v>2784.06</v>
      </c>
      <c r="J13" s="49">
        <v>-89.456</v>
      </c>
      <c r="K13">
        <f t="shared" si="0"/>
        <v>2694.6</v>
      </c>
    </row>
    <row r="14" spans="1:11" ht="12.75">
      <c r="A14" s="1">
        <v>40909</v>
      </c>
      <c r="B14">
        <v>4</v>
      </c>
      <c r="C14">
        <v>150</v>
      </c>
      <c r="D14">
        <v>0</v>
      </c>
      <c r="E14">
        <v>22.3</v>
      </c>
      <c r="F14">
        <v>1.3019967182599446</v>
      </c>
      <c r="G14">
        <v>5.2</v>
      </c>
      <c r="H14">
        <v>6.441</v>
      </c>
      <c r="I14" s="48">
        <v>1891.09</v>
      </c>
      <c r="J14" s="49">
        <v>41.211</v>
      </c>
      <c r="K14">
        <f t="shared" si="0"/>
        <v>1932.3</v>
      </c>
    </row>
    <row r="15" spans="1:11" ht="12.75">
      <c r="A15" s="1">
        <v>40940</v>
      </c>
      <c r="B15">
        <v>4</v>
      </c>
      <c r="C15">
        <v>375</v>
      </c>
      <c r="D15">
        <v>75</v>
      </c>
      <c r="E15">
        <v>7.6</v>
      </c>
      <c r="F15">
        <v>1.6349238257798329</v>
      </c>
      <c r="G15">
        <v>4.199999999999999</v>
      </c>
      <c r="H15">
        <v>7.165</v>
      </c>
      <c r="I15" s="48">
        <v>2019.78</v>
      </c>
      <c r="J15" s="49">
        <v>129.72</v>
      </c>
      <c r="K15">
        <f t="shared" si="0"/>
        <v>2149.5</v>
      </c>
    </row>
    <row r="16" spans="1:11" ht="12.75">
      <c r="A16" s="1">
        <v>40969</v>
      </c>
      <c r="B16">
        <v>4</v>
      </c>
      <c r="C16">
        <v>450</v>
      </c>
      <c r="D16">
        <v>10</v>
      </c>
      <c r="E16">
        <v>17</v>
      </c>
      <c r="F16">
        <v>1.2134422577839197</v>
      </c>
      <c r="G16">
        <v>3.1</v>
      </c>
      <c r="H16">
        <v>6.177</v>
      </c>
      <c r="I16" s="48">
        <v>1817.76</v>
      </c>
      <c r="J16" s="49">
        <v>35.341</v>
      </c>
      <c r="K16">
        <f t="shared" si="0"/>
        <v>1853.1</v>
      </c>
    </row>
    <row r="17" spans="1:11" ht="12.75">
      <c r="A17" s="1">
        <v>41000</v>
      </c>
      <c r="B17">
        <v>3.5</v>
      </c>
      <c r="C17">
        <v>450</v>
      </c>
      <c r="D17">
        <v>100</v>
      </c>
      <c r="E17">
        <v>19.7</v>
      </c>
      <c r="F17">
        <v>1.6973672614033934</v>
      </c>
      <c r="G17">
        <v>6.800000000000001</v>
      </c>
      <c r="H17">
        <v>7.797</v>
      </c>
      <c r="I17" s="48">
        <v>2238.72</v>
      </c>
      <c r="J17" s="49">
        <v>100.379</v>
      </c>
      <c r="K17">
        <f t="shared" si="0"/>
        <v>2339.1</v>
      </c>
    </row>
    <row r="18" spans="1:11" ht="12.75">
      <c r="A18" s="1">
        <v>41030</v>
      </c>
      <c r="B18">
        <v>3.7</v>
      </c>
      <c r="C18">
        <v>510</v>
      </c>
      <c r="D18">
        <v>20</v>
      </c>
      <c r="E18">
        <v>20.7</v>
      </c>
      <c r="F18">
        <v>1.3063419725235297</v>
      </c>
      <c r="G18">
        <v>4.8</v>
      </c>
      <c r="H18">
        <v>6.244</v>
      </c>
      <c r="I18" s="48">
        <v>1888.02</v>
      </c>
      <c r="J18" s="49">
        <v>-14.824</v>
      </c>
      <c r="K18">
        <f t="shared" si="0"/>
        <v>1873.1999999999998</v>
      </c>
    </row>
    <row r="19" spans="1:11" ht="12.75">
      <c r="A19" s="1">
        <v>41061</v>
      </c>
      <c r="B19">
        <v>3.5</v>
      </c>
      <c r="C19">
        <v>270</v>
      </c>
      <c r="D19">
        <v>40</v>
      </c>
      <c r="E19">
        <v>6.4</v>
      </c>
      <c r="F19">
        <v>1.2550194040239342</v>
      </c>
      <c r="G19">
        <v>4.1</v>
      </c>
      <c r="H19">
        <v>5.918</v>
      </c>
      <c r="I19" s="48">
        <v>1834.4</v>
      </c>
      <c r="J19" s="49">
        <v>-59.004</v>
      </c>
      <c r="K19">
        <f t="shared" si="0"/>
        <v>1775.4</v>
      </c>
    </row>
    <row r="20" spans="1:11" ht="12.75">
      <c r="A20" s="1">
        <v>41091</v>
      </c>
      <c r="B20">
        <v>4.6</v>
      </c>
      <c r="C20">
        <v>150</v>
      </c>
      <c r="D20">
        <v>0</v>
      </c>
      <c r="E20">
        <v>20.7</v>
      </c>
      <c r="F20">
        <v>0.8046785108820931</v>
      </c>
      <c r="G20">
        <v>6.6000000000000005</v>
      </c>
      <c r="H20">
        <v>6.229</v>
      </c>
      <c r="I20" s="48">
        <v>1858.08</v>
      </c>
      <c r="J20" s="49">
        <v>10.623</v>
      </c>
      <c r="K20">
        <f t="shared" si="0"/>
        <v>1868.7</v>
      </c>
    </row>
    <row r="21" spans="1:11" ht="12.75">
      <c r="A21" s="1">
        <v>41122</v>
      </c>
      <c r="B21">
        <v>4.2</v>
      </c>
      <c r="C21">
        <v>150</v>
      </c>
      <c r="D21">
        <v>10</v>
      </c>
      <c r="E21">
        <v>12.6</v>
      </c>
      <c r="F21">
        <v>0.7502116410760298</v>
      </c>
      <c r="G21">
        <v>4.3999999999999995</v>
      </c>
      <c r="H21">
        <v>6.037</v>
      </c>
      <c r="I21" s="48">
        <v>1845.35</v>
      </c>
      <c r="J21" s="49">
        <v>-34.251</v>
      </c>
      <c r="K21">
        <f t="shared" si="0"/>
        <v>1811.1</v>
      </c>
    </row>
    <row r="22" spans="1:11" ht="12.75">
      <c r="A22" s="1">
        <v>41153</v>
      </c>
      <c r="B22">
        <v>4.1</v>
      </c>
      <c r="C22">
        <v>600</v>
      </c>
      <c r="D22">
        <v>150</v>
      </c>
      <c r="E22">
        <v>12</v>
      </c>
      <c r="F22">
        <v>0.972954658984371</v>
      </c>
      <c r="G22">
        <v>4.6</v>
      </c>
      <c r="H22">
        <v>7.586</v>
      </c>
      <c r="I22" s="48">
        <v>2274.08</v>
      </c>
      <c r="J22" s="49">
        <v>1.725</v>
      </c>
      <c r="K22">
        <f t="shared" si="0"/>
        <v>2275.8</v>
      </c>
    </row>
    <row r="23" spans="1:11" ht="12.75">
      <c r="A23" s="1">
        <v>41183</v>
      </c>
      <c r="B23">
        <v>4</v>
      </c>
      <c r="C23">
        <v>150</v>
      </c>
      <c r="D23">
        <v>0</v>
      </c>
      <c r="E23">
        <v>24.1</v>
      </c>
      <c r="F23">
        <v>0.494539573022796</v>
      </c>
      <c r="G23">
        <v>4</v>
      </c>
      <c r="H23">
        <v>6.346</v>
      </c>
      <c r="I23" s="48">
        <v>1829.33</v>
      </c>
      <c r="J23" s="49">
        <v>74.465</v>
      </c>
      <c r="K23">
        <f t="shared" si="0"/>
        <v>1903.8</v>
      </c>
    </row>
    <row r="24" spans="1:11" ht="12.75">
      <c r="A24" s="1">
        <v>41214</v>
      </c>
      <c r="B24">
        <v>4</v>
      </c>
      <c r="C24">
        <v>600</v>
      </c>
      <c r="D24">
        <v>150</v>
      </c>
      <c r="E24">
        <v>24.5</v>
      </c>
      <c r="F24">
        <v>1.645918277024607</v>
      </c>
      <c r="G24">
        <v>6</v>
      </c>
      <c r="H24">
        <v>9.35</v>
      </c>
      <c r="I24" s="48">
        <v>2795.26</v>
      </c>
      <c r="J24" s="49">
        <v>9.736</v>
      </c>
      <c r="K24">
        <f t="shared" si="0"/>
        <v>2805</v>
      </c>
    </row>
    <row r="25" spans="1:11" ht="12.75">
      <c r="A25" s="1">
        <v>41244</v>
      </c>
      <c r="B25">
        <v>4</v>
      </c>
      <c r="C25">
        <v>750</v>
      </c>
      <c r="D25">
        <v>20</v>
      </c>
      <c r="E25">
        <v>10.1</v>
      </c>
      <c r="F25">
        <v>1.217580147092109</v>
      </c>
      <c r="G25">
        <v>3.6999999999999997</v>
      </c>
      <c r="H25">
        <v>6.748</v>
      </c>
      <c r="I25" s="48">
        <v>2081.69</v>
      </c>
      <c r="J25" s="49">
        <v>-57.294</v>
      </c>
      <c r="K25">
        <f t="shared" si="0"/>
        <v>2024.4</v>
      </c>
    </row>
    <row r="26" spans="1:11" ht="12.75">
      <c r="A26" s="1">
        <v>41275</v>
      </c>
      <c r="B26">
        <v>3.5</v>
      </c>
      <c r="C26">
        <v>240</v>
      </c>
      <c r="D26">
        <v>30</v>
      </c>
      <c r="E26">
        <v>22.5</v>
      </c>
      <c r="F26">
        <v>1.823837736433092</v>
      </c>
      <c r="G26">
        <v>5.699999999999999</v>
      </c>
      <c r="H26">
        <v>6.687</v>
      </c>
      <c r="I26" s="48">
        <v>2052.55</v>
      </c>
      <c r="J26" s="49">
        <v>-46.445</v>
      </c>
      <c r="K26">
        <f t="shared" si="0"/>
        <v>2006.1000000000001</v>
      </c>
    </row>
    <row r="27" spans="1:11" ht="12.75">
      <c r="A27" s="1">
        <v>41306</v>
      </c>
      <c r="B27">
        <v>5</v>
      </c>
      <c r="C27">
        <v>150</v>
      </c>
      <c r="D27">
        <v>0</v>
      </c>
      <c r="E27">
        <v>20.8</v>
      </c>
      <c r="F27">
        <v>0.7019934125260214</v>
      </c>
      <c r="G27">
        <v>4.9</v>
      </c>
      <c r="H27">
        <v>6.601</v>
      </c>
      <c r="I27" s="48">
        <v>1870.66</v>
      </c>
      <c r="J27" s="49">
        <v>109.637</v>
      </c>
      <c r="K27">
        <f t="shared" si="0"/>
        <v>1980.3</v>
      </c>
    </row>
    <row r="28" spans="1:11" ht="12.75">
      <c r="A28" s="1">
        <v>41334</v>
      </c>
      <c r="B28">
        <v>5.4</v>
      </c>
      <c r="C28">
        <v>300</v>
      </c>
      <c r="D28">
        <v>50</v>
      </c>
      <c r="E28">
        <v>19</v>
      </c>
      <c r="F28">
        <v>1.8514891589297338</v>
      </c>
      <c r="G28">
        <v>5.3</v>
      </c>
      <c r="H28">
        <v>7.375</v>
      </c>
      <c r="I28" s="48">
        <v>2173.38</v>
      </c>
      <c r="J28" s="49">
        <v>39.115</v>
      </c>
      <c r="K28">
        <f t="shared" si="0"/>
        <v>2212.5</v>
      </c>
    </row>
    <row r="29" spans="1:11" ht="12.75">
      <c r="A29" s="1">
        <v>41365</v>
      </c>
      <c r="B29">
        <v>6.1</v>
      </c>
      <c r="C29">
        <v>300</v>
      </c>
      <c r="D29">
        <v>50</v>
      </c>
      <c r="E29">
        <v>5.2</v>
      </c>
      <c r="F29">
        <v>1.1813530047291756</v>
      </c>
      <c r="G29">
        <v>6.5</v>
      </c>
      <c r="H29">
        <v>6.42</v>
      </c>
      <c r="I29" s="48">
        <v>1926.34</v>
      </c>
      <c r="J29" s="49">
        <v>-0.345</v>
      </c>
      <c r="K29">
        <f t="shared" si="0"/>
        <v>1926</v>
      </c>
    </row>
    <row r="30" spans="1:11" ht="12.75">
      <c r="A30" s="1">
        <v>41395</v>
      </c>
      <c r="B30">
        <v>6.8</v>
      </c>
      <c r="C30">
        <v>150</v>
      </c>
      <c r="D30">
        <v>0</v>
      </c>
      <c r="E30">
        <v>18.1</v>
      </c>
      <c r="F30">
        <v>1.235798507476893</v>
      </c>
      <c r="G30">
        <v>4.8</v>
      </c>
      <c r="H30">
        <v>6.73</v>
      </c>
      <c r="I30" s="48">
        <v>1968.72</v>
      </c>
      <c r="J30" s="49">
        <v>50.283</v>
      </c>
      <c r="K30">
        <f t="shared" si="0"/>
        <v>2019.0000000000002</v>
      </c>
    </row>
    <row r="31" spans="1:11" ht="12.75">
      <c r="A31" s="1">
        <v>41426</v>
      </c>
      <c r="B31">
        <v>7</v>
      </c>
      <c r="C31">
        <v>150</v>
      </c>
      <c r="D31">
        <v>85</v>
      </c>
      <c r="E31">
        <v>18.4</v>
      </c>
      <c r="F31">
        <v>0.6783087878264633</v>
      </c>
      <c r="G31">
        <v>4.5</v>
      </c>
      <c r="H31">
        <v>8.011</v>
      </c>
      <c r="I31" s="48">
        <v>2369.64</v>
      </c>
      <c r="J31" s="49">
        <v>33.664</v>
      </c>
      <c r="K31">
        <f t="shared" si="0"/>
        <v>2403.2999999999997</v>
      </c>
    </row>
    <row r="32" spans="1:11" ht="12.75">
      <c r="A32" s="1">
        <v>41456</v>
      </c>
      <c r="B32">
        <v>7.4</v>
      </c>
      <c r="C32">
        <v>150</v>
      </c>
      <c r="D32">
        <v>25</v>
      </c>
      <c r="E32">
        <v>22.3</v>
      </c>
      <c r="F32">
        <v>1.5708136661778913</v>
      </c>
      <c r="G32">
        <v>5.6000000000000005</v>
      </c>
      <c r="H32">
        <v>7.348</v>
      </c>
      <c r="I32" s="48">
        <v>2228.74</v>
      </c>
      <c r="J32" s="49">
        <v>-24.337</v>
      </c>
      <c r="K32">
        <f t="shared" si="0"/>
        <v>2204.4</v>
      </c>
    </row>
    <row r="33" spans="1:11" ht="12.75">
      <c r="A33" s="1">
        <v>41487</v>
      </c>
      <c r="B33">
        <v>7.3</v>
      </c>
      <c r="C33">
        <v>375</v>
      </c>
      <c r="D33">
        <v>75</v>
      </c>
      <c r="E33">
        <v>6.8</v>
      </c>
      <c r="F33">
        <v>0.9022618843316328</v>
      </c>
      <c r="G33">
        <v>3.8</v>
      </c>
      <c r="H33">
        <v>7.389</v>
      </c>
      <c r="I33" s="48">
        <v>2091.33</v>
      </c>
      <c r="J33" s="49">
        <v>125.368</v>
      </c>
      <c r="K33">
        <f t="shared" si="0"/>
        <v>2216.7000000000003</v>
      </c>
    </row>
    <row r="34" spans="1:11" ht="12.75">
      <c r="A34" s="1">
        <v>41518</v>
      </c>
      <c r="B34">
        <v>7.5</v>
      </c>
      <c r="C34">
        <v>150</v>
      </c>
      <c r="D34">
        <v>0</v>
      </c>
      <c r="E34">
        <v>26.2</v>
      </c>
      <c r="F34">
        <v>1.6673114047582234</v>
      </c>
      <c r="G34">
        <v>5</v>
      </c>
      <c r="H34">
        <v>6.942</v>
      </c>
      <c r="I34" s="48">
        <v>2089.5</v>
      </c>
      <c r="J34" s="49">
        <v>-6.9</v>
      </c>
      <c r="K34">
        <f t="shared" si="0"/>
        <v>2082.6</v>
      </c>
    </row>
    <row r="35" spans="1:11" ht="12.75">
      <c r="A35" s="1">
        <v>41548</v>
      </c>
      <c r="B35">
        <v>7.2</v>
      </c>
      <c r="C35">
        <v>525</v>
      </c>
      <c r="D35">
        <v>125</v>
      </c>
      <c r="E35">
        <v>25.5</v>
      </c>
      <c r="F35">
        <v>1.4888468657295162</v>
      </c>
      <c r="G35">
        <v>3.9</v>
      </c>
      <c r="H35">
        <v>8.786</v>
      </c>
      <c r="I35" s="48">
        <v>2511.81</v>
      </c>
      <c r="J35" s="49">
        <v>123.987</v>
      </c>
      <c r="K35">
        <f t="shared" si="0"/>
        <v>2635.7999999999997</v>
      </c>
    </row>
    <row r="36" spans="1:11" ht="12.75">
      <c r="A36" s="1">
        <v>41579</v>
      </c>
      <c r="B36">
        <v>8</v>
      </c>
      <c r="C36">
        <v>450</v>
      </c>
      <c r="D36">
        <v>100</v>
      </c>
      <c r="E36">
        <v>8.8</v>
      </c>
      <c r="F36">
        <v>1.0692037211031555</v>
      </c>
      <c r="G36">
        <v>3.5999999999999996</v>
      </c>
      <c r="H36">
        <v>9.05</v>
      </c>
      <c r="I36" s="48">
        <v>2613.37</v>
      </c>
      <c r="J36" s="49">
        <v>101.632</v>
      </c>
      <c r="K36">
        <f t="shared" si="0"/>
        <v>2715</v>
      </c>
    </row>
    <row r="37" spans="1:11" ht="12.75">
      <c r="A37" s="1">
        <v>41609</v>
      </c>
      <c r="B37">
        <v>8.4</v>
      </c>
      <c r="C37">
        <v>450</v>
      </c>
      <c r="D37">
        <v>100</v>
      </c>
      <c r="E37">
        <v>25.9</v>
      </c>
      <c r="F37">
        <v>0.9318687049046631</v>
      </c>
      <c r="G37">
        <v>6.6000000000000005</v>
      </c>
      <c r="H37">
        <v>9.899</v>
      </c>
      <c r="I37" s="48">
        <v>2801.09</v>
      </c>
      <c r="J37" s="49">
        <v>168.614</v>
      </c>
      <c r="K37">
        <f t="shared" si="0"/>
        <v>2969.7</v>
      </c>
    </row>
    <row r="38" spans="1:11" ht="12.75">
      <c r="A38" s="1">
        <v>41640</v>
      </c>
      <c r="B38">
        <v>8.3</v>
      </c>
      <c r="C38">
        <v>300</v>
      </c>
      <c r="D38">
        <v>50</v>
      </c>
      <c r="E38">
        <v>13.6</v>
      </c>
      <c r="F38">
        <v>1.1421741382961446</v>
      </c>
      <c r="G38">
        <v>3.4000000000000004</v>
      </c>
      <c r="H38">
        <v>7.416</v>
      </c>
      <c r="I38" s="48">
        <v>2202.14</v>
      </c>
      <c r="J38" s="49">
        <v>22.656</v>
      </c>
      <c r="K38">
        <f t="shared" si="0"/>
        <v>2224.8</v>
      </c>
    </row>
    <row r="39" spans="1:11" ht="12.75">
      <c r="A39" s="1">
        <v>41671</v>
      </c>
      <c r="B39">
        <v>8.5</v>
      </c>
      <c r="C39">
        <v>150</v>
      </c>
      <c r="D39">
        <v>30</v>
      </c>
      <c r="E39">
        <v>21.4</v>
      </c>
      <c r="F39">
        <v>0.646969463475343</v>
      </c>
      <c r="G39">
        <v>5.8</v>
      </c>
      <c r="H39">
        <v>7.168</v>
      </c>
      <c r="I39" s="48">
        <v>2219.14</v>
      </c>
      <c r="J39" s="49">
        <v>-68.736</v>
      </c>
      <c r="K39">
        <f t="shared" si="0"/>
        <v>2150.4</v>
      </c>
    </row>
    <row r="40" spans="1:11" ht="12.75">
      <c r="A40" s="1">
        <v>41699</v>
      </c>
      <c r="B40">
        <v>8.8</v>
      </c>
      <c r="C40">
        <v>150</v>
      </c>
      <c r="D40">
        <v>10</v>
      </c>
      <c r="E40">
        <v>15.9</v>
      </c>
      <c r="F40">
        <v>1.5812223746238474</v>
      </c>
      <c r="G40">
        <v>6.6000000000000005</v>
      </c>
      <c r="H40">
        <v>6.928</v>
      </c>
      <c r="I40" s="48">
        <v>2135.87</v>
      </c>
      <c r="J40" s="49">
        <v>-57.471</v>
      </c>
      <c r="K40">
        <f t="shared" si="0"/>
        <v>2078.4</v>
      </c>
    </row>
    <row r="41" spans="1:11" ht="12.75">
      <c r="A41" s="1">
        <v>41730</v>
      </c>
      <c r="B41">
        <v>8.5</v>
      </c>
      <c r="C41">
        <v>675</v>
      </c>
      <c r="D41">
        <v>175</v>
      </c>
      <c r="E41">
        <v>9.2</v>
      </c>
      <c r="F41">
        <v>0.9130130176310621</v>
      </c>
      <c r="G41">
        <v>6.800000000000001</v>
      </c>
      <c r="H41">
        <v>7.968</v>
      </c>
      <c r="I41" s="48">
        <v>2464.56</v>
      </c>
      <c r="J41" s="49">
        <v>-74.16</v>
      </c>
      <c r="K41">
        <f t="shared" si="0"/>
        <v>2390.4</v>
      </c>
    </row>
    <row r="42" spans="1:11" ht="12.75">
      <c r="A42" s="1">
        <v>41760</v>
      </c>
      <c r="B42">
        <v>8.2</v>
      </c>
      <c r="C42">
        <v>150</v>
      </c>
      <c r="D42">
        <v>10</v>
      </c>
      <c r="E42">
        <v>24.2</v>
      </c>
      <c r="F42">
        <v>1.577213106715405</v>
      </c>
      <c r="G42">
        <v>4.1</v>
      </c>
      <c r="H42">
        <v>7.296</v>
      </c>
      <c r="I42" s="48">
        <v>2195.49</v>
      </c>
      <c r="J42" s="49">
        <v>-6.686</v>
      </c>
      <c r="K42">
        <f t="shared" si="0"/>
        <v>2188.8</v>
      </c>
    </row>
    <row r="43" spans="1:11" ht="12.75">
      <c r="A43" s="1">
        <v>41791</v>
      </c>
      <c r="B43">
        <v>8</v>
      </c>
      <c r="C43">
        <v>690</v>
      </c>
      <c r="D43">
        <v>180</v>
      </c>
      <c r="E43">
        <v>22.7</v>
      </c>
      <c r="F43">
        <v>1.4388433279134873</v>
      </c>
      <c r="G43">
        <v>3.5999999999999996</v>
      </c>
      <c r="H43">
        <v>8.784</v>
      </c>
      <c r="I43" s="48">
        <v>2669.41</v>
      </c>
      <c r="J43" s="49">
        <v>-34.208</v>
      </c>
      <c r="K43">
        <f t="shared" si="0"/>
        <v>2635.2000000000003</v>
      </c>
    </row>
    <row r="44" spans="1:11" ht="12.75">
      <c r="A44" s="1">
        <v>41821</v>
      </c>
      <c r="B44">
        <v>8.1</v>
      </c>
      <c r="C44">
        <v>150</v>
      </c>
      <c r="D44">
        <v>50</v>
      </c>
      <c r="E44">
        <v>13</v>
      </c>
      <c r="F44">
        <v>0.8251304432638866</v>
      </c>
      <c r="G44">
        <v>6</v>
      </c>
      <c r="H44">
        <v>7.193</v>
      </c>
      <c r="I44" s="48">
        <v>2223.67</v>
      </c>
      <c r="J44" s="49">
        <v>-65.773</v>
      </c>
      <c r="K44">
        <f t="shared" si="0"/>
        <v>2157.9</v>
      </c>
    </row>
    <row r="45" spans="1:11" ht="12.75">
      <c r="A45" s="1">
        <v>41852</v>
      </c>
      <c r="B45">
        <v>7.9</v>
      </c>
      <c r="C45">
        <v>450</v>
      </c>
      <c r="D45">
        <v>25</v>
      </c>
      <c r="E45">
        <v>21.8</v>
      </c>
      <c r="F45">
        <v>1.6158751500063615</v>
      </c>
      <c r="G45">
        <v>4.8</v>
      </c>
      <c r="H45">
        <v>6.904</v>
      </c>
      <c r="I45" s="48">
        <v>2133.01</v>
      </c>
      <c r="J45" s="49">
        <v>-61.809</v>
      </c>
      <c r="K45">
        <f t="shared" si="0"/>
        <v>2071.2</v>
      </c>
    </row>
    <row r="46" spans="1:11" ht="12.75">
      <c r="A46" s="1">
        <v>41883</v>
      </c>
      <c r="B46">
        <v>8.2</v>
      </c>
      <c r="C46">
        <v>450</v>
      </c>
      <c r="D46">
        <v>125</v>
      </c>
      <c r="E46">
        <v>7.3</v>
      </c>
      <c r="F46">
        <v>1.033628615006064</v>
      </c>
      <c r="G46">
        <v>4.8</v>
      </c>
      <c r="H46">
        <v>7.884</v>
      </c>
      <c r="I46" s="48">
        <v>2310.23</v>
      </c>
      <c r="J46" s="49">
        <v>54.965</v>
      </c>
      <c r="K46">
        <f t="shared" si="0"/>
        <v>2365.2000000000003</v>
      </c>
    </row>
    <row r="47" spans="1:11" ht="12.75">
      <c r="A47" s="1">
        <v>41913</v>
      </c>
      <c r="B47">
        <v>8.4</v>
      </c>
      <c r="C47">
        <v>750</v>
      </c>
      <c r="D47">
        <v>185</v>
      </c>
      <c r="E47">
        <v>20.2</v>
      </c>
      <c r="F47">
        <v>1.7931327556801493</v>
      </c>
      <c r="G47">
        <v>4.3999999999999995</v>
      </c>
      <c r="H47">
        <v>8.595</v>
      </c>
      <c r="I47" s="48">
        <v>2686.75</v>
      </c>
      <c r="J47">
        <v>-108.248</v>
      </c>
      <c r="K47">
        <f t="shared" si="0"/>
        <v>2578.5</v>
      </c>
    </row>
    <row r="48" spans="1:11" ht="12.75">
      <c r="A48" s="1">
        <v>41944</v>
      </c>
      <c r="B48">
        <v>8.3</v>
      </c>
      <c r="C48">
        <v>600</v>
      </c>
      <c r="D48">
        <v>150</v>
      </c>
      <c r="E48">
        <v>17.8</v>
      </c>
      <c r="F48">
        <v>0.7075723040684458</v>
      </c>
      <c r="G48">
        <v>6.1</v>
      </c>
      <c r="H48">
        <v>9.464</v>
      </c>
      <c r="I48" s="48">
        <v>2848.83</v>
      </c>
      <c r="J48">
        <v>-9.632</v>
      </c>
      <c r="K48">
        <f t="shared" si="0"/>
        <v>2839.2000000000003</v>
      </c>
    </row>
    <row r="49" spans="1:11" ht="12.75">
      <c r="A49" s="1">
        <v>41974</v>
      </c>
      <c r="B49">
        <v>8.5</v>
      </c>
      <c r="C49">
        <v>600</v>
      </c>
      <c r="D49">
        <v>190</v>
      </c>
      <c r="E49">
        <v>8.1</v>
      </c>
      <c r="F49">
        <v>1.6265501550610049</v>
      </c>
      <c r="G49">
        <v>4.5</v>
      </c>
      <c r="H49">
        <v>9.628</v>
      </c>
      <c r="I49">
        <v>2910.26</v>
      </c>
      <c r="J49">
        <v>-21.863</v>
      </c>
      <c r="K49">
        <f t="shared" si="0"/>
        <v>2888.4</v>
      </c>
    </row>
    <row r="52" ht="12.75">
      <c r="K52" t="s">
        <v>82</v>
      </c>
    </row>
    <row r="53" spans="1:11" ht="12.75">
      <c r="A53" t="s">
        <v>83</v>
      </c>
      <c r="C53" t="s">
        <v>84</v>
      </c>
      <c r="D53" s="52">
        <f>AVERAGE(K53:K100)</f>
        <v>0.02768020179856891</v>
      </c>
      <c r="K53">
        <f>ABS(J2/K2)</f>
        <v>0.02961998361998362</v>
      </c>
    </row>
    <row r="54" ht="12.75">
      <c r="K54">
        <f>ABS(J3/K3)</f>
        <v>0.02240316901408451</v>
      </c>
    </row>
    <row r="55" ht="12.75">
      <c r="K55">
        <f aca="true" t="shared" si="1" ref="K55:K73">ABS(J4/K4)</f>
        <v>0.11228568190832341</v>
      </c>
    </row>
    <row r="56" ht="12.75">
      <c r="K56">
        <f t="shared" si="1"/>
        <v>0.05790834571161358</v>
      </c>
    </row>
    <row r="57" ht="12.75">
      <c r="K57">
        <f t="shared" si="1"/>
        <v>0.018724022143570197</v>
      </c>
    </row>
    <row r="58" ht="12.75">
      <c r="K58">
        <f t="shared" si="1"/>
        <v>0.0238545767159857</v>
      </c>
    </row>
    <row r="59" ht="12.75">
      <c r="K59">
        <f t="shared" si="1"/>
        <v>0.025806895873296935</v>
      </c>
    </row>
    <row r="60" ht="12.75">
      <c r="K60">
        <f t="shared" si="1"/>
        <v>0.05760319791156796</v>
      </c>
    </row>
    <row r="61" ht="12.75">
      <c r="K61">
        <f t="shared" si="1"/>
        <v>0.004715969989281886</v>
      </c>
    </row>
    <row r="62" ht="12.75">
      <c r="K62">
        <f t="shared" si="1"/>
        <v>0.023477052189876734</v>
      </c>
    </row>
    <row r="63" ht="12.75">
      <c r="K63">
        <f t="shared" si="1"/>
        <v>0.03719236674709366</v>
      </c>
    </row>
    <row r="64" ht="12.75">
      <c r="K64">
        <f t="shared" si="1"/>
        <v>0.03319824834854895</v>
      </c>
    </row>
    <row r="65" ht="12.75">
      <c r="K65">
        <f t="shared" si="1"/>
        <v>0.021327433628318584</v>
      </c>
    </row>
    <row r="66" ht="12.75">
      <c r="K66">
        <f t="shared" si="1"/>
        <v>0.06034891835310537</v>
      </c>
    </row>
    <row r="67" ht="12.75">
      <c r="K67">
        <f t="shared" si="1"/>
        <v>0.0190712859532675</v>
      </c>
    </row>
    <row r="68" ht="12.75">
      <c r="K68">
        <f t="shared" si="1"/>
        <v>0.04291351374460263</v>
      </c>
    </row>
    <row r="69" ht="12.75">
      <c r="K69">
        <f t="shared" si="1"/>
        <v>0.007913730514627376</v>
      </c>
    </row>
    <row r="70" ht="12.75">
      <c r="K70">
        <f t="shared" si="1"/>
        <v>0.033234200743494424</v>
      </c>
    </row>
    <row r="71" ht="12.75">
      <c r="K71">
        <f t="shared" si="1"/>
        <v>0.005684700593995826</v>
      </c>
    </row>
    <row r="72" ht="12.75">
      <c r="K72">
        <f t="shared" si="1"/>
        <v>0.018911711114792115</v>
      </c>
    </row>
    <row r="73" ht="12.75">
      <c r="K73">
        <f t="shared" si="1"/>
        <v>0.0007579752175059319</v>
      </c>
    </row>
    <row r="74" ht="12.75">
      <c r="K74">
        <f>ABS(J23/K23)</f>
        <v>0.03911387750814162</v>
      </c>
    </row>
    <row r="75" ht="12.75">
      <c r="K75">
        <f>ABS(J24/K24)</f>
        <v>0.003470944741532977</v>
      </c>
    </row>
    <row r="76" ht="12.75">
      <c r="K76">
        <f aca="true" t="shared" si="2" ref="K76:K100">ABS(J25/K25)</f>
        <v>0.028301719027860103</v>
      </c>
    </row>
    <row r="77" ht="12.75">
      <c r="K77">
        <f t="shared" si="2"/>
        <v>0.023151886745426446</v>
      </c>
    </row>
    <row r="78" ht="12.75">
      <c r="K78">
        <f t="shared" si="2"/>
        <v>0.05536383376256123</v>
      </c>
    </row>
    <row r="79" ht="12.75">
      <c r="K79">
        <f t="shared" si="2"/>
        <v>0.01767909604519774</v>
      </c>
    </row>
    <row r="80" ht="12.75">
      <c r="K80">
        <f t="shared" si="2"/>
        <v>0.0001791277258566978</v>
      </c>
    </row>
    <row r="81" ht="12.75">
      <c r="K81">
        <f t="shared" si="2"/>
        <v>0.02490490341753343</v>
      </c>
    </row>
    <row r="82" ht="12.75">
      <c r="K82">
        <f t="shared" si="2"/>
        <v>0.014007406482752883</v>
      </c>
    </row>
    <row r="83" ht="12.75">
      <c r="K83">
        <f t="shared" si="2"/>
        <v>0.011040192342587551</v>
      </c>
    </row>
    <row r="84" ht="12.75">
      <c r="K84">
        <f t="shared" si="2"/>
        <v>0.05655614201290205</v>
      </c>
    </row>
    <row r="85" ht="12.75">
      <c r="K85">
        <f t="shared" si="2"/>
        <v>0.0033131662345145495</v>
      </c>
    </row>
    <row r="86" ht="12.75">
      <c r="K86">
        <f t="shared" si="2"/>
        <v>0.0470396084680173</v>
      </c>
    </row>
    <row r="87" ht="12.75">
      <c r="K87">
        <f t="shared" si="2"/>
        <v>0.03743351749539595</v>
      </c>
    </row>
    <row r="88" ht="12.75">
      <c r="K88">
        <f t="shared" si="2"/>
        <v>0.0567781257366064</v>
      </c>
    </row>
    <row r="89" ht="12.75">
      <c r="K89">
        <f t="shared" si="2"/>
        <v>0.01018338727076591</v>
      </c>
    </row>
    <row r="90" ht="12.75">
      <c r="K90">
        <f t="shared" si="2"/>
        <v>0.031964285714285716</v>
      </c>
    </row>
    <row r="91" ht="12.75">
      <c r="K91">
        <f t="shared" si="2"/>
        <v>0.02765155889145496</v>
      </c>
    </row>
    <row r="92" ht="12.75">
      <c r="K92">
        <f t="shared" si="2"/>
        <v>0.031024096385542165</v>
      </c>
    </row>
    <row r="93" ht="12.75">
      <c r="K93">
        <f t="shared" si="2"/>
        <v>0.003054641812865497</v>
      </c>
    </row>
    <row r="94" ht="12.75">
      <c r="K94">
        <f t="shared" si="2"/>
        <v>0.012981177899210683</v>
      </c>
    </row>
    <row r="95" ht="12.75">
      <c r="K95">
        <f t="shared" si="2"/>
        <v>0.0304800963900088</v>
      </c>
    </row>
    <row r="96" ht="12.75">
      <c r="K96">
        <f t="shared" si="2"/>
        <v>0.029842120509849364</v>
      </c>
    </row>
    <row r="97" ht="12.75">
      <c r="K97">
        <f t="shared" si="2"/>
        <v>0.02323904955183494</v>
      </c>
    </row>
    <row r="98" ht="12.75">
      <c r="K98">
        <f t="shared" si="2"/>
        <v>0.04198099670350979</v>
      </c>
    </row>
    <row r="99" ht="12.75">
      <c r="K99">
        <f t="shared" si="2"/>
        <v>0.003392504930966469</v>
      </c>
    </row>
    <row r="100" ht="12.75">
      <c r="K100">
        <f t="shared" si="2"/>
        <v>0.007569242487190139</v>
      </c>
    </row>
  </sheetData>
  <sheetProtection/>
  <printOptions/>
  <pageMargins left="0.75" right="0.75" top="1" bottom="1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zoomScalePageLayoutView="0" workbookViewId="0" topLeftCell="A1">
      <selection activeCell="D19" sqref="D19"/>
    </sheetView>
  </sheetViews>
  <sheetFormatPr defaultColWidth="11.421875" defaultRowHeight="12.75"/>
  <cols>
    <col min="1" max="1" width="2.57421875" style="0" customWidth="1"/>
    <col min="2" max="2" width="7.8515625" style="0" customWidth="1"/>
    <col min="3" max="3" width="22.421875" style="0" customWidth="1"/>
    <col min="4" max="4" width="10.57421875" style="0" customWidth="1"/>
    <col min="5" max="5" width="15.140625" style="0" customWidth="1"/>
    <col min="6" max="6" width="11.8515625" style="0" customWidth="1"/>
    <col min="7" max="7" width="12.8515625" style="0" bestFit="1" customWidth="1"/>
  </cols>
  <sheetData>
    <row r="1" ht="12.75">
      <c r="A1" s="47" t="s">
        <v>95</v>
      </c>
    </row>
    <row r="2" ht="12.75">
      <c r="A2" s="47" t="s">
        <v>96</v>
      </c>
    </row>
    <row r="3" ht="12.75">
      <c r="A3" s="47" t="s">
        <v>97</v>
      </c>
    </row>
    <row r="4" ht="12.75">
      <c r="A4" s="47" t="s">
        <v>98</v>
      </c>
    </row>
    <row r="5" ht="12.75">
      <c r="A5" s="47" t="s">
        <v>99</v>
      </c>
    </row>
    <row r="6" spans="1:2" ht="12.75">
      <c r="A6" s="47"/>
      <c r="B6" t="s">
        <v>100</v>
      </c>
    </row>
    <row r="7" spans="1:2" ht="12.75">
      <c r="A7" s="47"/>
      <c r="B7" t="s">
        <v>101</v>
      </c>
    </row>
    <row r="8" spans="1:2" ht="12.75">
      <c r="A8" s="47"/>
      <c r="B8" t="s">
        <v>102</v>
      </c>
    </row>
    <row r="9" ht="12.75">
      <c r="A9" s="47" t="s">
        <v>103</v>
      </c>
    </row>
    <row r="10" ht="12.75">
      <c r="B10" t="s">
        <v>104</v>
      </c>
    </row>
    <row r="11" ht="12.75">
      <c r="B11" t="s">
        <v>105</v>
      </c>
    </row>
    <row r="12" ht="12.75">
      <c r="B12" t="s">
        <v>106</v>
      </c>
    </row>
    <row r="14" ht="13.5" thickBot="1">
      <c r="A14" t="s">
        <v>107</v>
      </c>
    </row>
    <row r="15" spans="2:5" ht="13.5" thickBot="1">
      <c r="B15" s="66" t="s">
        <v>108</v>
      </c>
      <c r="C15" s="66" t="s">
        <v>109</v>
      </c>
      <c r="D15" s="66" t="s">
        <v>110</v>
      </c>
      <c r="E15" s="66" t="s">
        <v>111</v>
      </c>
    </row>
    <row r="16" spans="2:5" ht="13.5" thickBot="1">
      <c r="B16" s="65" t="s">
        <v>119</v>
      </c>
      <c r="C16" s="65" t="s">
        <v>120</v>
      </c>
      <c r="D16" s="68">
        <v>385697.8252981776</v>
      </c>
      <c r="E16" s="68">
        <v>475583.14948954113</v>
      </c>
    </row>
    <row r="19" ht="13.5" thickBot="1">
      <c r="A19" t="s">
        <v>112</v>
      </c>
    </row>
    <row r="20" spans="2:6" ht="13.5" thickBot="1">
      <c r="B20" s="66" t="s">
        <v>108</v>
      </c>
      <c r="C20" s="66" t="s">
        <v>109</v>
      </c>
      <c r="D20" s="66" t="s">
        <v>110</v>
      </c>
      <c r="E20" s="66" t="s">
        <v>111</v>
      </c>
      <c r="F20" s="66" t="s">
        <v>113</v>
      </c>
    </row>
    <row r="21" spans="2:6" ht="12.75">
      <c r="B21" s="67" t="s">
        <v>121</v>
      </c>
      <c r="C21" s="67" t="s">
        <v>122</v>
      </c>
      <c r="D21" s="69">
        <v>120000</v>
      </c>
      <c r="E21" s="69">
        <v>277607.6796613071</v>
      </c>
      <c r="F21" s="67" t="s">
        <v>114</v>
      </c>
    </row>
    <row r="22" spans="2:6" ht="12.75">
      <c r="B22" s="67" t="s">
        <v>123</v>
      </c>
      <c r="C22" s="67" t="s">
        <v>124</v>
      </c>
      <c r="D22" s="69">
        <v>120000</v>
      </c>
      <c r="E22" s="69">
        <v>56576.482112234065</v>
      </c>
      <c r="F22" s="67" t="s">
        <v>114</v>
      </c>
    </row>
    <row r="23" spans="2:6" ht="13.5" thickBot="1">
      <c r="B23" s="65" t="s">
        <v>125</v>
      </c>
      <c r="C23" s="65" t="s">
        <v>126</v>
      </c>
      <c r="D23" s="68">
        <v>120000</v>
      </c>
      <c r="E23" s="68">
        <v>25815.838226458905</v>
      </c>
      <c r="F23" s="65" t="s">
        <v>114</v>
      </c>
    </row>
    <row r="26" ht="13.5" thickBot="1">
      <c r="A26" t="s">
        <v>114</v>
      </c>
    </row>
    <row r="27" spans="2:7" ht="13.5" thickBot="1">
      <c r="B27" s="66" t="s">
        <v>108</v>
      </c>
      <c r="C27" s="66" t="s">
        <v>109</v>
      </c>
      <c r="D27" s="66" t="s">
        <v>115</v>
      </c>
      <c r="E27" s="66" t="s">
        <v>116</v>
      </c>
      <c r="F27" s="66" t="s">
        <v>117</v>
      </c>
      <c r="G27" s="66" t="s">
        <v>118</v>
      </c>
    </row>
    <row r="28" spans="2:7" ht="12.75">
      <c r="B28" s="67" t="s">
        <v>127</v>
      </c>
      <c r="C28" s="67" t="s">
        <v>128</v>
      </c>
      <c r="D28" s="71">
        <v>360000.00000000006</v>
      </c>
      <c r="E28" s="67" t="s">
        <v>129</v>
      </c>
      <c r="F28" s="67" t="s">
        <v>130</v>
      </c>
      <c r="G28" s="67">
        <v>0</v>
      </c>
    </row>
    <row r="29" spans="2:7" ht="12.75">
      <c r="B29" s="67" t="s">
        <v>121</v>
      </c>
      <c r="C29" s="67" t="s">
        <v>122</v>
      </c>
      <c r="D29" s="69">
        <v>277607.6796613071</v>
      </c>
      <c r="E29" s="67" t="s">
        <v>131</v>
      </c>
      <c r="F29" s="67" t="s">
        <v>132</v>
      </c>
      <c r="G29" s="67">
        <v>82392.32033869292</v>
      </c>
    </row>
    <row r="30" spans="2:7" ht="12.75">
      <c r="B30" s="67" t="s">
        <v>123</v>
      </c>
      <c r="C30" s="67" t="s">
        <v>124</v>
      </c>
      <c r="D30" s="69">
        <v>56576.482112234065</v>
      </c>
      <c r="E30" s="67" t="s">
        <v>133</v>
      </c>
      <c r="F30" s="67" t="s">
        <v>132</v>
      </c>
      <c r="G30" s="67">
        <v>303423.51788776595</v>
      </c>
    </row>
    <row r="31" spans="2:7" ht="13.5" thickBot="1">
      <c r="B31" s="65" t="s">
        <v>125</v>
      </c>
      <c r="C31" s="65" t="s">
        <v>126</v>
      </c>
      <c r="D31" s="68">
        <v>25815.838226458905</v>
      </c>
      <c r="E31" s="65" t="s">
        <v>134</v>
      </c>
      <c r="F31" s="65" t="s">
        <v>132</v>
      </c>
      <c r="G31" s="65">
        <v>334184.16177354107</v>
      </c>
    </row>
  </sheetData>
  <sheetProtection/>
  <printOptions/>
  <pageMargins left="0.75" right="0.75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7.8515625" style="0" customWidth="1"/>
    <col min="3" max="3" width="22.421875" style="0" customWidth="1"/>
    <col min="4" max="4" width="10.57421875" style="0" customWidth="1"/>
    <col min="5" max="5" width="15.140625" style="0" customWidth="1"/>
    <col min="6" max="6" width="11.8515625" style="0" customWidth="1"/>
    <col min="7" max="7" width="12.8515625" style="0" bestFit="1" customWidth="1"/>
  </cols>
  <sheetData>
    <row r="1" ht="12.75">
      <c r="A1" s="47" t="s">
        <v>95</v>
      </c>
    </row>
    <row r="2" ht="12.75">
      <c r="A2" s="47" t="s">
        <v>96</v>
      </c>
    </row>
    <row r="3" ht="12.75">
      <c r="A3" s="47" t="s">
        <v>135</v>
      </c>
    </row>
    <row r="4" ht="12.75">
      <c r="A4" s="47" t="s">
        <v>98</v>
      </c>
    </row>
    <row r="5" ht="12.75">
      <c r="A5" s="47" t="s">
        <v>99</v>
      </c>
    </row>
    <row r="6" spans="1:2" ht="12.75">
      <c r="A6" s="47"/>
      <c r="B6" t="s">
        <v>100</v>
      </c>
    </row>
    <row r="7" spans="1:2" ht="12.75">
      <c r="A7" s="47"/>
      <c r="B7" t="s">
        <v>136</v>
      </c>
    </row>
    <row r="8" spans="1:2" ht="12.75">
      <c r="A8" s="47"/>
      <c r="B8" t="s">
        <v>102</v>
      </c>
    </row>
    <row r="9" ht="12.75">
      <c r="A9" s="47" t="s">
        <v>103</v>
      </c>
    </row>
    <row r="10" ht="12.75">
      <c r="B10" t="s">
        <v>104</v>
      </c>
    </row>
    <row r="11" ht="12.75">
      <c r="B11" t="s">
        <v>105</v>
      </c>
    </row>
    <row r="12" ht="12.75">
      <c r="B12" t="s">
        <v>106</v>
      </c>
    </row>
    <row r="14" ht="13.5" thickBot="1">
      <c r="A14" t="s">
        <v>107</v>
      </c>
    </row>
    <row r="15" spans="2:5" ht="13.5" thickBot="1">
      <c r="B15" s="66" t="s">
        <v>108</v>
      </c>
      <c r="C15" s="66" t="s">
        <v>109</v>
      </c>
      <c r="D15" s="66" t="s">
        <v>110</v>
      </c>
      <c r="E15" s="66" t="s">
        <v>111</v>
      </c>
    </row>
    <row r="16" spans="2:5" ht="13.5" thickBot="1">
      <c r="B16" s="65" t="s">
        <v>137</v>
      </c>
      <c r="C16" s="65" t="s">
        <v>120</v>
      </c>
      <c r="D16" s="68">
        <v>517798.93564135104</v>
      </c>
      <c r="E16" s="68">
        <v>689922.3423512409</v>
      </c>
    </row>
    <row r="19" ht="13.5" thickBot="1">
      <c r="A19" t="s">
        <v>112</v>
      </c>
    </row>
    <row r="20" spans="2:6" ht="13.5" thickBot="1">
      <c r="B20" s="66" t="s">
        <v>108</v>
      </c>
      <c r="C20" s="66" t="s">
        <v>109</v>
      </c>
      <c r="D20" s="66" t="s">
        <v>110</v>
      </c>
      <c r="E20" s="66" t="s">
        <v>111</v>
      </c>
      <c r="F20" s="66" t="s">
        <v>113</v>
      </c>
    </row>
    <row r="21" spans="2:6" ht="12.75">
      <c r="B21" s="67" t="s">
        <v>138</v>
      </c>
      <c r="C21" s="67" t="s">
        <v>122</v>
      </c>
      <c r="D21" s="69">
        <v>200000</v>
      </c>
      <c r="E21" s="69">
        <v>503051.6633922094</v>
      </c>
      <c r="F21" s="67" t="s">
        <v>114</v>
      </c>
    </row>
    <row r="22" spans="2:6" ht="12.75">
      <c r="B22" s="67" t="s">
        <v>139</v>
      </c>
      <c r="C22" s="67" t="s">
        <v>124</v>
      </c>
      <c r="D22" s="69">
        <v>200000</v>
      </c>
      <c r="E22" s="69">
        <v>66568.12340361626</v>
      </c>
      <c r="F22" s="67" t="s">
        <v>114</v>
      </c>
    </row>
    <row r="23" spans="2:6" ht="13.5" thickBot="1">
      <c r="B23" s="65" t="s">
        <v>140</v>
      </c>
      <c r="C23" s="65" t="s">
        <v>126</v>
      </c>
      <c r="D23" s="68">
        <v>200000</v>
      </c>
      <c r="E23" s="68">
        <v>30380.21320417438</v>
      </c>
      <c r="F23" s="65" t="s">
        <v>114</v>
      </c>
    </row>
    <row r="26" ht="13.5" thickBot="1">
      <c r="A26" t="s">
        <v>114</v>
      </c>
    </row>
    <row r="27" spans="2:7" ht="13.5" thickBot="1">
      <c r="B27" s="66" t="s">
        <v>108</v>
      </c>
      <c r="C27" s="66" t="s">
        <v>109</v>
      </c>
      <c r="D27" s="66" t="s">
        <v>115</v>
      </c>
      <c r="E27" s="66" t="s">
        <v>116</v>
      </c>
      <c r="F27" s="66" t="s">
        <v>117</v>
      </c>
      <c r="G27" s="66" t="s">
        <v>118</v>
      </c>
    </row>
    <row r="28" spans="2:7" ht="12.75">
      <c r="B28" s="67" t="s">
        <v>141</v>
      </c>
      <c r="C28" s="67" t="s">
        <v>128</v>
      </c>
      <c r="D28" s="71">
        <v>600000.0000000001</v>
      </c>
      <c r="E28" s="67" t="s">
        <v>142</v>
      </c>
      <c r="F28" s="67" t="s">
        <v>130</v>
      </c>
      <c r="G28" s="67">
        <v>0</v>
      </c>
    </row>
    <row r="29" spans="2:7" ht="12.75">
      <c r="B29" s="67" t="s">
        <v>138</v>
      </c>
      <c r="C29" s="67" t="s">
        <v>122</v>
      </c>
      <c r="D29" s="69">
        <v>503051.6633922094</v>
      </c>
      <c r="E29" s="67" t="s">
        <v>143</v>
      </c>
      <c r="F29" s="67" t="s">
        <v>132</v>
      </c>
      <c r="G29" s="67">
        <v>96948.33660779061</v>
      </c>
    </row>
    <row r="30" spans="2:7" ht="12.75">
      <c r="B30" s="67" t="s">
        <v>139</v>
      </c>
      <c r="C30" s="67" t="s">
        <v>124</v>
      </c>
      <c r="D30" s="69">
        <v>66568.12340361626</v>
      </c>
      <c r="E30" s="67" t="s">
        <v>144</v>
      </c>
      <c r="F30" s="67" t="s">
        <v>132</v>
      </c>
      <c r="G30" s="67">
        <v>533431.8765963838</v>
      </c>
    </row>
    <row r="31" spans="2:7" ht="13.5" thickBot="1">
      <c r="B31" s="65" t="s">
        <v>140</v>
      </c>
      <c r="C31" s="65" t="s">
        <v>126</v>
      </c>
      <c r="D31" s="68">
        <v>30380.21320417438</v>
      </c>
      <c r="E31" s="65" t="s">
        <v>145</v>
      </c>
      <c r="F31" s="65" t="s">
        <v>132</v>
      </c>
      <c r="G31" s="65">
        <v>569619.7867958256</v>
      </c>
    </row>
  </sheetData>
  <sheetProtection/>
  <printOptions/>
  <pageMargins left="0.75" right="0.75" top="1" bottom="1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7.8515625" style="0" customWidth="1"/>
    <col min="3" max="3" width="22.421875" style="0" customWidth="1"/>
    <col min="4" max="4" width="10.57421875" style="0" customWidth="1"/>
    <col min="5" max="5" width="15.140625" style="0" customWidth="1"/>
    <col min="6" max="6" width="11.8515625" style="0" customWidth="1"/>
    <col min="7" max="7" width="9.57421875" style="0" customWidth="1"/>
  </cols>
  <sheetData>
    <row r="1" ht="12.75">
      <c r="A1" s="47" t="s">
        <v>95</v>
      </c>
    </row>
    <row r="2" ht="12.75">
      <c r="A2" s="47" t="s">
        <v>96</v>
      </c>
    </row>
    <row r="3" ht="12.75">
      <c r="A3" s="47" t="s">
        <v>157</v>
      </c>
    </row>
    <row r="4" ht="12.75">
      <c r="A4" s="47" t="s">
        <v>98</v>
      </c>
    </row>
    <row r="5" ht="12.75">
      <c r="A5" s="47" t="s">
        <v>99</v>
      </c>
    </row>
    <row r="6" spans="1:2" ht="12.75">
      <c r="A6" s="47"/>
      <c r="B6" t="s">
        <v>100</v>
      </c>
    </row>
    <row r="7" spans="1:2" ht="12.75">
      <c r="A7" s="47"/>
      <c r="B7" t="s">
        <v>158</v>
      </c>
    </row>
    <row r="8" spans="1:2" ht="12.75">
      <c r="A8" s="47"/>
      <c r="B8" t="s">
        <v>102</v>
      </c>
    </row>
    <row r="9" ht="12.75">
      <c r="A9" s="47" t="s">
        <v>103</v>
      </c>
    </row>
    <row r="10" ht="12.75">
      <c r="B10" t="s">
        <v>146</v>
      </c>
    </row>
    <row r="11" ht="12.75">
      <c r="B11" t="s">
        <v>105</v>
      </c>
    </row>
    <row r="12" ht="12.75">
      <c r="B12" t="s">
        <v>106</v>
      </c>
    </row>
    <row r="14" ht="13.5" thickBot="1">
      <c r="A14" t="s">
        <v>107</v>
      </c>
    </row>
    <row r="15" spans="2:5" ht="13.5" thickBot="1">
      <c r="B15" s="66" t="s">
        <v>108</v>
      </c>
      <c r="C15" s="66" t="s">
        <v>109</v>
      </c>
      <c r="D15" s="66" t="s">
        <v>110</v>
      </c>
      <c r="E15" s="66" t="s">
        <v>111</v>
      </c>
    </row>
    <row r="16" spans="2:5" ht="13.5" thickBot="1">
      <c r="B16" s="65" t="s">
        <v>147</v>
      </c>
      <c r="C16" s="65" t="s">
        <v>92</v>
      </c>
      <c r="D16" s="68">
        <v>385697.8252981776</v>
      </c>
      <c r="E16" s="68">
        <v>439292.49902777513</v>
      </c>
    </row>
    <row r="19" ht="13.5" thickBot="1">
      <c r="A19" t="s">
        <v>112</v>
      </c>
    </row>
    <row r="20" spans="2:6" ht="13.5" thickBot="1">
      <c r="B20" s="66" t="s">
        <v>108</v>
      </c>
      <c r="C20" s="66" t="s">
        <v>109</v>
      </c>
      <c r="D20" s="66" t="s">
        <v>110</v>
      </c>
      <c r="E20" s="66" t="s">
        <v>111</v>
      </c>
      <c r="F20" s="66" t="s">
        <v>113</v>
      </c>
    </row>
    <row r="21" spans="2:6" ht="12.75">
      <c r="B21" s="67" t="s">
        <v>148</v>
      </c>
      <c r="C21" s="67" t="s">
        <v>122</v>
      </c>
      <c r="D21" s="69">
        <v>120000</v>
      </c>
      <c r="E21" s="69">
        <v>150000</v>
      </c>
      <c r="F21" s="67" t="s">
        <v>114</v>
      </c>
    </row>
    <row r="22" spans="2:6" ht="12.75">
      <c r="B22" s="67" t="s">
        <v>149</v>
      </c>
      <c r="C22" s="67" t="s">
        <v>124</v>
      </c>
      <c r="D22" s="69">
        <v>120000</v>
      </c>
      <c r="E22" s="69">
        <v>150000</v>
      </c>
      <c r="F22" s="67" t="s">
        <v>114</v>
      </c>
    </row>
    <row r="23" spans="2:6" ht="13.5" thickBot="1">
      <c r="B23" s="65" t="s">
        <v>150</v>
      </c>
      <c r="C23" s="65" t="s">
        <v>126</v>
      </c>
      <c r="D23" s="68">
        <v>120000</v>
      </c>
      <c r="E23" s="68">
        <v>150000</v>
      </c>
      <c r="F23" s="65" t="s">
        <v>114</v>
      </c>
    </row>
    <row r="26" ht="13.5" thickBot="1">
      <c r="A26" t="s">
        <v>114</v>
      </c>
    </row>
    <row r="27" spans="2:7" ht="13.5" thickBot="1">
      <c r="B27" s="66" t="s">
        <v>108</v>
      </c>
      <c r="C27" s="66" t="s">
        <v>109</v>
      </c>
      <c r="D27" s="66" t="s">
        <v>115</v>
      </c>
      <c r="E27" s="66" t="s">
        <v>116</v>
      </c>
      <c r="F27" s="66" t="s">
        <v>117</v>
      </c>
      <c r="G27" s="66" t="s">
        <v>118</v>
      </c>
    </row>
    <row r="28" spans="2:7" ht="12.75">
      <c r="B28" s="67" t="s">
        <v>148</v>
      </c>
      <c r="C28" s="67" t="s">
        <v>122</v>
      </c>
      <c r="D28" s="69">
        <v>150000</v>
      </c>
      <c r="E28" s="67" t="s">
        <v>151</v>
      </c>
      <c r="F28" s="67" t="s">
        <v>130</v>
      </c>
      <c r="G28" s="67">
        <v>0</v>
      </c>
    </row>
    <row r="29" spans="2:7" ht="12.75">
      <c r="B29" s="67" t="s">
        <v>148</v>
      </c>
      <c r="C29" s="67" t="s">
        <v>122</v>
      </c>
      <c r="D29" s="69">
        <v>150000</v>
      </c>
      <c r="E29" s="67" t="s">
        <v>152</v>
      </c>
      <c r="F29" s="67" t="s">
        <v>132</v>
      </c>
      <c r="G29" s="69">
        <v>60000</v>
      </c>
    </row>
    <row r="30" spans="2:7" ht="12.75">
      <c r="B30" s="67" t="s">
        <v>149</v>
      </c>
      <c r="C30" s="67" t="s">
        <v>124</v>
      </c>
      <c r="D30" s="69">
        <v>150000</v>
      </c>
      <c r="E30" s="67" t="s">
        <v>153</v>
      </c>
      <c r="F30" s="67" t="s">
        <v>130</v>
      </c>
      <c r="G30" s="67">
        <v>0</v>
      </c>
    </row>
    <row r="31" spans="2:7" ht="12.75">
      <c r="B31" s="67" t="s">
        <v>149</v>
      </c>
      <c r="C31" s="67" t="s">
        <v>124</v>
      </c>
      <c r="D31" s="69">
        <v>150000</v>
      </c>
      <c r="E31" s="67" t="s">
        <v>154</v>
      </c>
      <c r="F31" s="67" t="s">
        <v>132</v>
      </c>
      <c r="G31" s="69">
        <v>60000</v>
      </c>
    </row>
    <row r="32" spans="2:7" ht="12.75">
      <c r="B32" s="67" t="s">
        <v>150</v>
      </c>
      <c r="C32" s="67" t="s">
        <v>126</v>
      </c>
      <c r="D32" s="69">
        <v>150000</v>
      </c>
      <c r="E32" s="67" t="s">
        <v>155</v>
      </c>
      <c r="F32" s="67" t="s">
        <v>130</v>
      </c>
      <c r="G32" s="67">
        <v>0</v>
      </c>
    </row>
    <row r="33" spans="2:7" ht="13.5" thickBot="1">
      <c r="B33" s="65" t="s">
        <v>150</v>
      </c>
      <c r="C33" s="65" t="s">
        <v>126</v>
      </c>
      <c r="D33" s="68">
        <v>150000</v>
      </c>
      <c r="E33" s="65" t="s">
        <v>156</v>
      </c>
      <c r="F33" s="65" t="s">
        <v>132</v>
      </c>
      <c r="G33" s="68">
        <v>60000</v>
      </c>
    </row>
  </sheetData>
  <sheetProtection/>
  <printOptions/>
  <pageMargins left="0.75" right="0.75" top="1" bottom="1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01"/>
  <sheetViews>
    <sheetView zoomScale="75" zoomScaleNormal="75" zoomScalePageLayoutView="0" workbookViewId="0" topLeftCell="A1">
      <selection activeCell="K20" sqref="K20"/>
    </sheetView>
  </sheetViews>
  <sheetFormatPr defaultColWidth="11.421875" defaultRowHeight="12.75"/>
  <cols>
    <col min="2" max="2" width="12.8515625" style="0" bestFit="1" customWidth="1"/>
    <col min="4" max="4" width="21.57421875" style="0" customWidth="1"/>
    <col min="7" max="7" width="12.57421875" style="0" customWidth="1"/>
    <col min="8" max="8" width="13.8515625" style="0" customWidth="1"/>
    <col min="13" max="13" width="20.8515625" style="0" customWidth="1"/>
    <col min="14" max="14" width="11.00390625" style="48" customWidth="1"/>
    <col min="24" max="24" width="12.57421875" style="0" customWidth="1"/>
    <col min="25" max="25" width="11.00390625" style="50" customWidth="1"/>
  </cols>
  <sheetData>
    <row r="1" spans="1:24" ht="12.75">
      <c r="A1" t="s">
        <v>36</v>
      </c>
      <c r="M1" s="47" t="s">
        <v>48</v>
      </c>
      <c r="X1" s="47" t="s">
        <v>55</v>
      </c>
    </row>
    <row r="2" spans="1:28" ht="12.75">
      <c r="A2" s="32" t="s">
        <v>37</v>
      </c>
      <c r="B2" s="32">
        <v>17.4153</v>
      </c>
      <c r="M2" t="s">
        <v>49</v>
      </c>
      <c r="N2" s="48" t="s">
        <v>54</v>
      </c>
      <c r="O2" t="s">
        <v>44</v>
      </c>
      <c r="P2" t="s">
        <v>19</v>
      </c>
      <c r="X2" t="s">
        <v>49</v>
      </c>
      <c r="Y2" s="50" t="s">
        <v>54</v>
      </c>
      <c r="Z2" t="s">
        <v>44</v>
      </c>
      <c r="AA2" t="s">
        <v>19</v>
      </c>
      <c r="AB2" t="s">
        <v>56</v>
      </c>
    </row>
    <row r="3" spans="1:24" ht="12.75">
      <c r="A3" s="32" t="s">
        <v>38</v>
      </c>
      <c r="B3" s="32">
        <v>0.7262</v>
      </c>
      <c r="M3">
        <v>1</v>
      </c>
      <c r="N3" s="48">
        <f>($B$2*(M3*1000/$F$18)^$B$3)*$E$8</f>
        <v>6.2667874616216075</v>
      </c>
      <c r="O3">
        <f>($B$4*LOG(M3*1000/$G$18))*$E$8</f>
        <v>-94.06307970024368</v>
      </c>
      <c r="P3">
        <f>($B$5*LOG(M3*1000/$H$18))*$E$8</f>
        <v>-107.64540092234205</v>
      </c>
      <c r="X3">
        <v>1</v>
      </c>
    </row>
    <row r="4" spans="1:28" ht="12.75">
      <c r="A4" s="32" t="s">
        <v>39</v>
      </c>
      <c r="B4" s="32">
        <v>181.5</v>
      </c>
      <c r="M4">
        <v>2</v>
      </c>
      <c r="N4" s="48">
        <f aca="true" t="shared" si="0" ref="N4:N67">($B$2*(M4*1000/$F$18)^$B$3)*$E$8</f>
        <v>10.36699642291244</v>
      </c>
      <c r="O4">
        <f aca="true" t="shared" si="1" ref="O4:O67">($B$4*LOG(M4*1000/$G$18))*$E$8</f>
        <v>-55.81721875113487</v>
      </c>
      <c r="P4">
        <f aca="true" t="shared" si="2" ref="P4:P67">($B$5*LOG(M4*1000/$H$18))*$E$8</f>
        <v>-90.19860847394465</v>
      </c>
      <c r="X4">
        <v>2</v>
      </c>
      <c r="Y4" s="50">
        <f>N4-N3</f>
        <v>4.100208961290832</v>
      </c>
      <c r="Z4">
        <f>O4-O3</f>
        <v>38.24586094910881</v>
      </c>
      <c r="AA4">
        <f>P4-P3</f>
        <v>17.446792448397403</v>
      </c>
      <c r="AB4">
        <v>1</v>
      </c>
    </row>
    <row r="5" spans="1:28" ht="12.75">
      <c r="A5" s="32" t="s">
        <v>60</v>
      </c>
      <c r="B5" s="32">
        <v>82.7957</v>
      </c>
      <c r="M5">
        <v>3</v>
      </c>
      <c r="N5" s="48">
        <f t="shared" si="0"/>
        <v>13.916512723783057</v>
      </c>
      <c r="O5">
        <f t="shared" si="1"/>
        <v>-33.444824288110574</v>
      </c>
      <c r="P5">
        <f t="shared" si="2"/>
        <v>-79.99288913376714</v>
      </c>
      <c r="X5">
        <v>3</v>
      </c>
      <c r="Y5" s="50">
        <f>N5-N4</f>
        <v>3.549516300870618</v>
      </c>
      <c r="Z5">
        <f aca="true" t="shared" si="3" ref="Z5:Z68">O5-O4</f>
        <v>22.372394463024293</v>
      </c>
      <c r="AA5">
        <f aca="true" t="shared" si="4" ref="AA5:AA68">P5-P4</f>
        <v>10.20571934017751</v>
      </c>
      <c r="AB5">
        <v>1</v>
      </c>
    </row>
    <row r="6" spans="13:28" ht="12.75">
      <c r="M6">
        <v>4</v>
      </c>
      <c r="N6" s="48">
        <f t="shared" si="0"/>
        <v>17.149873917196636</v>
      </c>
      <c r="O6">
        <f t="shared" si="1"/>
        <v>-17.571357802026053</v>
      </c>
      <c r="P6">
        <f t="shared" si="2"/>
        <v>-72.75181602554724</v>
      </c>
      <c r="X6">
        <v>4</v>
      </c>
      <c r="Y6" s="50">
        <f aca="true" t="shared" si="5" ref="Y6:Y39">N6-N5</f>
        <v>3.233361193413579</v>
      </c>
      <c r="Z6">
        <f t="shared" si="3"/>
        <v>15.87346648608452</v>
      </c>
      <c r="AA6">
        <f t="shared" si="4"/>
        <v>7.241073108219894</v>
      </c>
      <c r="AB6">
        <v>1</v>
      </c>
    </row>
    <row r="7" spans="13:28" ht="13.5" thickBot="1">
      <c r="M7">
        <v>5</v>
      </c>
      <c r="N7" s="48">
        <f t="shared" si="0"/>
        <v>20.16679961411365</v>
      </c>
      <c r="O7">
        <f t="shared" si="1"/>
        <v>-5.2589406493524935</v>
      </c>
      <c r="P7">
        <f t="shared" si="2"/>
        <v>-67.13520337073945</v>
      </c>
      <c r="X7">
        <v>5</v>
      </c>
      <c r="Y7" s="50">
        <f t="shared" si="5"/>
        <v>3.0169256969170135</v>
      </c>
      <c r="Z7">
        <f t="shared" si="3"/>
        <v>12.31241715267356</v>
      </c>
      <c r="AA7">
        <f t="shared" si="4"/>
        <v>5.6166126548077955</v>
      </c>
      <c r="AB7">
        <v>1</v>
      </c>
    </row>
    <row r="8" spans="4:28" ht="13.5" thickBot="1">
      <c r="D8" s="2" t="s">
        <v>40</v>
      </c>
      <c r="E8" s="33">
        <v>0.7</v>
      </c>
      <c r="M8">
        <v>6</v>
      </c>
      <c r="N8" s="48">
        <f t="shared" si="0"/>
        <v>23.02175373114412</v>
      </c>
      <c r="O8">
        <f t="shared" si="1"/>
        <v>4.801036660998238</v>
      </c>
      <c r="P8">
        <f t="shared" si="2"/>
        <v>-62.54609668536973</v>
      </c>
      <c r="X8">
        <v>6</v>
      </c>
      <c r="Y8" s="50">
        <f t="shared" si="5"/>
        <v>2.85495411703047</v>
      </c>
      <c r="Z8">
        <f t="shared" si="3"/>
        <v>10.059977310350732</v>
      </c>
      <c r="AA8">
        <f t="shared" si="4"/>
        <v>4.589106685369714</v>
      </c>
      <c r="AB8">
        <v>1</v>
      </c>
    </row>
    <row r="9" spans="13:28" ht="12.75">
      <c r="M9">
        <v>7</v>
      </c>
      <c r="N9" s="48">
        <f t="shared" si="0"/>
        <v>25.74869141585474</v>
      </c>
      <c r="O9">
        <f t="shared" si="1"/>
        <v>13.306626283567649</v>
      </c>
      <c r="P9">
        <f t="shared" si="2"/>
        <v>-58.666062268216166</v>
      </c>
      <c r="X9">
        <v>7</v>
      </c>
      <c r="Y9" s="50">
        <f t="shared" si="5"/>
        <v>2.72693768471062</v>
      </c>
      <c r="Z9">
        <f t="shared" si="3"/>
        <v>8.50558962256941</v>
      </c>
      <c r="AA9">
        <f t="shared" si="4"/>
        <v>3.880034417153567</v>
      </c>
      <c r="AB9">
        <v>1</v>
      </c>
    </row>
    <row r="10" spans="13:28" ht="12.75">
      <c r="M10">
        <v>8</v>
      </c>
      <c r="N10" s="48">
        <f t="shared" si="0"/>
        <v>28.37062572199806</v>
      </c>
      <c r="O10">
        <f t="shared" si="1"/>
        <v>20.674503147082753</v>
      </c>
      <c r="P10">
        <f t="shared" si="2"/>
        <v>-55.305023577149846</v>
      </c>
      <c r="X10">
        <v>8</v>
      </c>
      <c r="Y10" s="50">
        <f t="shared" si="5"/>
        <v>2.62193430614332</v>
      </c>
      <c r="Z10">
        <f t="shared" si="3"/>
        <v>7.367876863515104</v>
      </c>
      <c r="AA10">
        <f t="shared" si="4"/>
        <v>3.3610386910663195</v>
      </c>
      <c r="AB10">
        <v>1</v>
      </c>
    </row>
    <row r="11" spans="13:28" ht="12.75">
      <c r="M11">
        <v>9</v>
      </c>
      <c r="N11" s="48">
        <f t="shared" si="0"/>
        <v>30.904084042623882</v>
      </c>
      <c r="O11">
        <f t="shared" si="1"/>
        <v>27.17343112402255</v>
      </c>
      <c r="P11">
        <f t="shared" si="2"/>
        <v>-52.340377345192195</v>
      </c>
      <c r="X11">
        <v>9</v>
      </c>
      <c r="Y11" s="50">
        <f t="shared" si="5"/>
        <v>2.5334583206258223</v>
      </c>
      <c r="Z11">
        <f t="shared" si="3"/>
        <v>6.498927976939797</v>
      </c>
      <c r="AA11">
        <f t="shared" si="4"/>
        <v>2.9646462319576514</v>
      </c>
      <c r="AB11">
        <v>1</v>
      </c>
    </row>
    <row r="12" spans="13:28" ht="12.75">
      <c r="M12">
        <v>10</v>
      </c>
      <c r="N12" s="48">
        <f t="shared" si="0"/>
        <v>33.36145365411978</v>
      </c>
      <c r="O12">
        <f t="shared" si="1"/>
        <v>32.986920299756314</v>
      </c>
      <c r="P12">
        <f t="shared" si="2"/>
        <v>-49.68841092234205</v>
      </c>
      <c r="X12">
        <v>10</v>
      </c>
      <c r="Y12" s="50">
        <f t="shared" si="5"/>
        <v>2.4573696114958956</v>
      </c>
      <c r="Z12">
        <f t="shared" si="3"/>
        <v>5.813489175733764</v>
      </c>
      <c r="AA12">
        <f t="shared" si="4"/>
        <v>2.651966422850144</v>
      </c>
      <c r="AB12">
        <v>1</v>
      </c>
    </row>
    <row r="13" spans="13:28" ht="12.75">
      <c r="M13">
        <v>11</v>
      </c>
      <c r="N13" s="48">
        <f t="shared" si="0"/>
        <v>35.75232864275119</v>
      </c>
      <c r="O13">
        <f t="shared" si="1"/>
        <v>38.24586094910881</v>
      </c>
      <c r="P13">
        <f t="shared" si="2"/>
        <v>-47.28941548255366</v>
      </c>
      <c r="X13">
        <v>11</v>
      </c>
      <c r="Y13" s="50">
        <f t="shared" si="5"/>
        <v>2.39087498863141</v>
      </c>
      <c r="Z13">
        <f t="shared" si="3"/>
        <v>5.258940649352496</v>
      </c>
      <c r="AA13">
        <f t="shared" si="4"/>
        <v>2.3989954397883935</v>
      </c>
      <c r="AB13">
        <v>1</v>
      </c>
    </row>
    <row r="14" spans="13:28" ht="12.75">
      <c r="M14">
        <v>12</v>
      </c>
      <c r="N14" s="48">
        <f t="shared" si="0"/>
        <v>38.0843358804743</v>
      </c>
      <c r="O14">
        <f t="shared" si="1"/>
        <v>43.046897610107045</v>
      </c>
      <c r="P14">
        <f t="shared" si="2"/>
        <v>-45.09930423697232</v>
      </c>
      <c r="X14">
        <v>12</v>
      </c>
      <c r="Y14" s="50">
        <f t="shared" si="5"/>
        <v>2.3320072377231114</v>
      </c>
      <c r="Z14">
        <f t="shared" si="3"/>
        <v>4.801036660998236</v>
      </c>
      <c r="AA14">
        <f t="shared" si="4"/>
        <v>2.1901112455813347</v>
      </c>
      <c r="AB14">
        <v>1</v>
      </c>
    </row>
    <row r="15" spans="1:28" ht="13.5" thickBot="1">
      <c r="A15" t="s">
        <v>41</v>
      </c>
      <c r="M15">
        <v>13</v>
      </c>
      <c r="N15" s="48">
        <f t="shared" si="0"/>
        <v>40.36366827221004</v>
      </c>
      <c r="O15">
        <f t="shared" si="1"/>
        <v>47.46342321033993</v>
      </c>
      <c r="P15">
        <f t="shared" si="2"/>
        <v>-43.08459719212824</v>
      </c>
      <c r="X15">
        <v>13</v>
      </c>
      <c r="Y15" s="50">
        <f t="shared" si="5"/>
        <v>2.2793323917357426</v>
      </c>
      <c r="Z15">
        <f t="shared" si="3"/>
        <v>4.416525600232887</v>
      </c>
      <c r="AA15">
        <f t="shared" si="4"/>
        <v>2.01470704484408</v>
      </c>
      <c r="AB15">
        <v>1</v>
      </c>
    </row>
    <row r="16" spans="6:28" ht="13.5" thickBot="1">
      <c r="F16" s="34" t="s">
        <v>5</v>
      </c>
      <c r="G16" s="35" t="s">
        <v>44</v>
      </c>
      <c r="H16" s="36" t="s">
        <v>45</v>
      </c>
      <c r="M16">
        <v>14</v>
      </c>
      <c r="N16" s="48">
        <f>($B$2*(M16*1000/$F$18)^$B$3)*$E$8</f>
        <v>42.59544358853512</v>
      </c>
      <c r="O16">
        <f t="shared" si="1"/>
        <v>51.55248723267646</v>
      </c>
      <c r="P16">
        <f t="shared" si="2"/>
        <v>-41.21926981981877</v>
      </c>
      <c r="X16">
        <v>14</v>
      </c>
      <c r="Y16" s="50">
        <f t="shared" si="5"/>
        <v>2.231775316325077</v>
      </c>
      <c r="Z16">
        <f t="shared" si="3"/>
        <v>4.0890640223365295</v>
      </c>
      <c r="AA16">
        <f t="shared" si="4"/>
        <v>1.8653273723094728</v>
      </c>
      <c r="AB16">
        <v>1</v>
      </c>
    </row>
    <row r="17" spans="1:28" ht="12.75">
      <c r="A17" s="37" t="s">
        <v>42</v>
      </c>
      <c r="B17" s="38"/>
      <c r="C17" s="38"/>
      <c r="D17" s="38"/>
      <c r="E17" s="38"/>
      <c r="F17" s="39" t="s">
        <v>24</v>
      </c>
      <c r="G17" s="40" t="s">
        <v>46</v>
      </c>
      <c r="H17" s="41" t="s">
        <v>47</v>
      </c>
      <c r="M17">
        <v>15</v>
      </c>
      <c r="N17" s="48">
        <f t="shared" si="0"/>
        <v>44.78395432213587</v>
      </c>
      <c r="O17">
        <f t="shared" si="1"/>
        <v>55.35931476278061</v>
      </c>
      <c r="P17">
        <f t="shared" si="2"/>
        <v>-39.48269158216453</v>
      </c>
      <c r="X17">
        <v>15</v>
      </c>
      <c r="Y17" s="50">
        <f t="shared" si="5"/>
        <v>2.1885107336007508</v>
      </c>
      <c r="Z17">
        <f t="shared" si="3"/>
        <v>3.806827530104151</v>
      </c>
      <c r="AA17">
        <f t="shared" si="4"/>
        <v>1.7365782376542427</v>
      </c>
      <c r="AB17">
        <v>1</v>
      </c>
    </row>
    <row r="18" spans="1:28" ht="13.5" thickBot="1">
      <c r="A18" s="42" t="s">
        <v>43</v>
      </c>
      <c r="B18" s="43"/>
      <c r="C18" s="43"/>
      <c r="D18" s="43"/>
      <c r="E18" s="43"/>
      <c r="F18" s="44">
        <v>2500</v>
      </c>
      <c r="G18" s="45">
        <v>5500</v>
      </c>
      <c r="H18" s="46">
        <v>72000</v>
      </c>
      <c r="M18">
        <v>16</v>
      </c>
      <c r="N18" s="48">
        <f t="shared" si="0"/>
        <v>46.93284672201647</v>
      </c>
      <c r="O18">
        <f t="shared" si="1"/>
        <v>58.92036409619156</v>
      </c>
      <c r="P18">
        <f t="shared" si="2"/>
        <v>-37.85823112875245</v>
      </c>
      <c r="X18">
        <v>16</v>
      </c>
      <c r="Y18" s="50">
        <f t="shared" si="5"/>
        <v>2.1488923998806015</v>
      </c>
      <c r="Z18">
        <f t="shared" si="3"/>
        <v>3.561049333410949</v>
      </c>
      <c r="AA18">
        <f t="shared" si="4"/>
        <v>1.6244604534120768</v>
      </c>
      <c r="AB18">
        <v>1</v>
      </c>
    </row>
    <row r="19" spans="13:28" ht="12.75">
      <c r="M19">
        <v>17</v>
      </c>
      <c r="N19" s="48">
        <f t="shared" si="0"/>
        <v>49.045252249385356</v>
      </c>
      <c r="O19">
        <f t="shared" si="1"/>
        <v>62.26545576086601</v>
      </c>
      <c r="P19">
        <f t="shared" si="2"/>
        <v>-36.332285090510645</v>
      </c>
      <c r="X19">
        <v>17</v>
      </c>
      <c r="Y19" s="50">
        <f t="shared" si="5"/>
        <v>2.1124055273688853</v>
      </c>
      <c r="Z19">
        <f t="shared" si="3"/>
        <v>3.345091664674449</v>
      </c>
      <c r="AA19">
        <f t="shared" si="4"/>
        <v>1.5259460382418055</v>
      </c>
      <c r="AB19">
        <v>1</v>
      </c>
    </row>
    <row r="20" spans="13:28" ht="12.75">
      <c r="M20">
        <v>18</v>
      </c>
      <c r="N20" s="48">
        <f t="shared" si="0"/>
        <v>51.123886151448374</v>
      </c>
      <c r="O20">
        <f t="shared" si="1"/>
        <v>65.41929207313136</v>
      </c>
      <c r="P20">
        <f t="shared" si="2"/>
        <v>-34.8935848967948</v>
      </c>
      <c r="X20">
        <v>18</v>
      </c>
      <c r="Y20" s="50">
        <f t="shared" si="5"/>
        <v>2.078633902063018</v>
      </c>
      <c r="Z20">
        <f t="shared" si="3"/>
        <v>3.153836312265348</v>
      </c>
      <c r="AA20">
        <f t="shared" si="4"/>
        <v>1.438700193715846</v>
      </c>
      <c r="AB20">
        <v>1</v>
      </c>
    </row>
    <row r="21" spans="13:28" ht="12.75">
      <c r="M21">
        <v>19</v>
      </c>
      <c r="N21" s="48">
        <f t="shared" si="0"/>
        <v>53.17112274569892</v>
      </c>
      <c r="O21">
        <f t="shared" si="1"/>
        <v>68.40256530081324</v>
      </c>
      <c r="P21">
        <f t="shared" si="2"/>
        <v>-33.53269125945496</v>
      </c>
      <c r="X21">
        <v>19</v>
      </c>
      <c r="Y21" s="50">
        <f t="shared" si="5"/>
        <v>2.047236594250549</v>
      </c>
      <c r="Z21">
        <f t="shared" si="3"/>
        <v>2.9832732276818774</v>
      </c>
      <c r="AA21">
        <f t="shared" si="4"/>
        <v>1.3608936373398421</v>
      </c>
      <c r="AB21">
        <v>1</v>
      </c>
    </row>
    <row r="22" spans="13:28" ht="12.75">
      <c r="M22">
        <v>20</v>
      </c>
      <c r="N22" s="48">
        <f t="shared" si="0"/>
        <v>55.189053851512604</v>
      </c>
      <c r="O22">
        <f t="shared" si="1"/>
        <v>71.23278124886512</v>
      </c>
      <c r="P22">
        <f t="shared" si="2"/>
        <v>-32.241618473944655</v>
      </c>
      <c r="X22">
        <v>20</v>
      </c>
      <c r="Y22" s="50">
        <f t="shared" si="5"/>
        <v>2.0179311058136804</v>
      </c>
      <c r="Z22">
        <f t="shared" si="3"/>
        <v>2.8302159480518867</v>
      </c>
      <c r="AA22">
        <f t="shared" si="4"/>
        <v>1.291072785510302</v>
      </c>
      <c r="AB22">
        <v>1</v>
      </c>
    </row>
    <row r="23" spans="1:28" ht="12.75">
      <c r="A23" s="53"/>
      <c r="B23" s="53" t="s">
        <v>90</v>
      </c>
      <c r="C23" s="53" t="s">
        <v>91</v>
      </c>
      <c r="D23" s="53" t="s">
        <v>92</v>
      </c>
      <c r="G23" s="76" t="s">
        <v>167</v>
      </c>
      <c r="M23">
        <v>21</v>
      </c>
      <c r="N23" s="48">
        <f t="shared" si="0"/>
        <v>57.179534794177194</v>
      </c>
      <c r="O23">
        <f t="shared" si="1"/>
        <v>73.92488169570076</v>
      </c>
      <c r="P23">
        <f t="shared" si="2"/>
        <v>-31.013550479641246</v>
      </c>
      <c r="X23">
        <v>21</v>
      </c>
      <c r="Y23" s="50">
        <f t="shared" si="5"/>
        <v>1.9904809426645897</v>
      </c>
      <c r="Z23">
        <f t="shared" si="3"/>
        <v>2.6921004468356386</v>
      </c>
      <c r="AA23">
        <f t="shared" si="4"/>
        <v>1.2280679943034087</v>
      </c>
      <c r="AB23">
        <v>1</v>
      </c>
    </row>
    <row r="24" spans="1:28" ht="12.75">
      <c r="A24" s="32" t="s">
        <v>5</v>
      </c>
      <c r="B24" s="55">
        <v>277607.6796613071</v>
      </c>
      <c r="C24" s="63">
        <f>B24/F18</f>
        <v>111.04307186452283</v>
      </c>
      <c r="D24" s="60">
        <f>(B2*C24^B3)*E8</f>
        <v>372.79055779126907</v>
      </c>
      <c r="F24" t="s">
        <v>17</v>
      </c>
      <c r="G24" s="24">
        <v>120000</v>
      </c>
      <c r="M24">
        <v>22</v>
      </c>
      <c r="N24" s="48">
        <f t="shared" si="0"/>
        <v>59.14422108936226</v>
      </c>
      <c r="O24">
        <f t="shared" si="1"/>
        <v>76.49172189821762</v>
      </c>
      <c r="P24">
        <f t="shared" si="2"/>
        <v>-29.842623034156258</v>
      </c>
      <c r="X24">
        <v>22</v>
      </c>
      <c r="Y24" s="50">
        <f t="shared" si="5"/>
        <v>1.9646862951850679</v>
      </c>
      <c r="Z24">
        <f t="shared" si="3"/>
        <v>2.5668402025168575</v>
      </c>
      <c r="AA24">
        <f t="shared" si="4"/>
        <v>1.1709274454849883</v>
      </c>
      <c r="AB24">
        <v>1</v>
      </c>
    </row>
    <row r="25" spans="1:28" ht="12.75">
      <c r="A25" s="32" t="s">
        <v>93</v>
      </c>
      <c r="B25" s="55">
        <v>56576.482112234065</v>
      </c>
      <c r="C25" s="63">
        <f>B25/G18</f>
        <v>10.286633111315284</v>
      </c>
      <c r="D25" s="60">
        <f>B4*LOG(C25)*E8</f>
        <v>128.60931645394686</v>
      </c>
      <c r="F25" t="s">
        <v>18</v>
      </c>
      <c r="G25" s="24">
        <v>120000</v>
      </c>
      <c r="M25">
        <v>23</v>
      </c>
      <c r="N25" s="48">
        <f t="shared" si="0"/>
        <v>61.08459803297208</v>
      </c>
      <c r="O25">
        <f t="shared" si="1"/>
        <v>78.94444186579149</v>
      </c>
      <c r="P25">
        <f t="shared" si="2"/>
        <v>-28.72375434754879</v>
      </c>
      <c r="X25">
        <v>23</v>
      </c>
      <c r="Y25" s="50">
        <f t="shared" si="5"/>
        <v>1.9403769436098202</v>
      </c>
      <c r="Z25">
        <f t="shared" si="3"/>
        <v>2.45271996757387</v>
      </c>
      <c r="AA25">
        <f t="shared" si="4"/>
        <v>1.1188686866074669</v>
      </c>
      <c r="AB25">
        <v>1</v>
      </c>
    </row>
    <row r="26" spans="1:28" ht="12.75">
      <c r="A26" s="32" t="s">
        <v>94</v>
      </c>
      <c r="B26" s="55">
        <v>25815.838226458905</v>
      </c>
      <c r="C26" s="61">
        <f>B26/H18</f>
        <v>0.35855330870081814</v>
      </c>
      <c r="D26" s="64">
        <f>B5*LOG(C26)*E8</f>
        <v>-25.81672475567479</v>
      </c>
      <c r="F26" t="s">
        <v>19</v>
      </c>
      <c r="G26" s="24">
        <v>120000</v>
      </c>
      <c r="M26">
        <v>24</v>
      </c>
      <c r="N26" s="48">
        <f t="shared" si="0"/>
        <v>63.00200481662872</v>
      </c>
      <c r="O26">
        <f t="shared" si="1"/>
        <v>81.29275855921586</v>
      </c>
      <c r="P26">
        <f t="shared" si="2"/>
        <v>-27.652511788574923</v>
      </c>
      <c r="X26">
        <v>24</v>
      </c>
      <c r="Y26" s="50">
        <f t="shared" si="5"/>
        <v>1.917406783656638</v>
      </c>
      <c r="Z26">
        <f t="shared" si="3"/>
        <v>2.3483166934243656</v>
      </c>
      <c r="AA26">
        <f t="shared" si="4"/>
        <v>1.0712425589738679</v>
      </c>
      <c r="AB26">
        <v>1</v>
      </c>
    </row>
    <row r="27" spans="8:28" ht="12.75">
      <c r="H27">
        <v>385698</v>
      </c>
      <c r="M27">
        <v>25</v>
      </c>
      <c r="N27" s="48">
        <f t="shared" si="0"/>
        <v>64.89765436700739</v>
      </c>
      <c r="O27">
        <f t="shared" si="1"/>
        <v>83.5451984015387</v>
      </c>
      <c r="P27">
        <f t="shared" si="2"/>
        <v>-26.625005819136867</v>
      </c>
      <c r="X27">
        <v>25</v>
      </c>
      <c r="Y27" s="50">
        <f t="shared" si="5"/>
        <v>1.8956495503786712</v>
      </c>
      <c r="Z27">
        <f t="shared" si="3"/>
        <v>2.2524398423228433</v>
      </c>
      <c r="AA27">
        <f t="shared" si="4"/>
        <v>1.0275059694380566</v>
      </c>
      <c r="AB27">
        <v>1</v>
      </c>
    </row>
    <row r="28" spans="1:28" ht="12.75">
      <c r="A28" t="s">
        <v>65</v>
      </c>
      <c r="B28" s="58">
        <f>SUM(B24:B26)</f>
        <v>360000.00000000006</v>
      </c>
      <c r="C28" s="58"/>
      <c r="D28" s="59">
        <f>SUM(D24:D26)*1000</f>
        <v>475583.14948954113</v>
      </c>
      <c r="M28">
        <v>26</v>
      </c>
      <c r="N28" s="48">
        <f t="shared" si="0"/>
        <v>66.7726498076172</v>
      </c>
      <c r="O28">
        <f t="shared" si="1"/>
        <v>85.70928415944873</v>
      </c>
      <c r="P28">
        <f t="shared" si="2"/>
        <v>-25.637804743730843</v>
      </c>
      <c r="X28">
        <v>26</v>
      </c>
      <c r="Y28" s="50">
        <f t="shared" si="5"/>
        <v>1.8749954406098084</v>
      </c>
      <c r="Z28">
        <f t="shared" si="3"/>
        <v>2.16408575791003</v>
      </c>
      <c r="AA28">
        <f t="shared" si="4"/>
        <v>0.9872010754060234</v>
      </c>
      <c r="AB28">
        <v>1</v>
      </c>
    </row>
    <row r="29" spans="13:28" ht="12.75">
      <c r="M29">
        <v>27</v>
      </c>
      <c r="N29" s="48">
        <f t="shared" si="0"/>
        <v>68.62799822554514</v>
      </c>
      <c r="O29">
        <f t="shared" si="1"/>
        <v>87.79168653615565</v>
      </c>
      <c r="P29">
        <f t="shared" si="2"/>
        <v>-24.687865556617275</v>
      </c>
      <c r="X29">
        <v>27</v>
      </c>
      <c r="Y29" s="50">
        <f t="shared" si="5"/>
        <v>1.8553484179279423</v>
      </c>
      <c r="Z29">
        <f t="shared" si="3"/>
        <v>2.0824023767069235</v>
      </c>
      <c r="AA29">
        <f t="shared" si="4"/>
        <v>0.9499391871135678</v>
      </c>
      <c r="AB29">
        <v>1</v>
      </c>
    </row>
    <row r="30" spans="13:28" ht="12.75">
      <c r="M30">
        <v>28</v>
      </c>
      <c r="N30" s="48">
        <f t="shared" si="0"/>
        <v>70.46462226763411</v>
      </c>
      <c r="O30">
        <f t="shared" si="1"/>
        <v>89.79834818178526</v>
      </c>
      <c r="P30">
        <f t="shared" si="2"/>
        <v>-23.772477371421374</v>
      </c>
      <c r="X30">
        <v>28</v>
      </c>
      <c r="Y30" s="50">
        <f t="shared" si="5"/>
        <v>1.836624042088971</v>
      </c>
      <c r="Z30">
        <f t="shared" si="3"/>
        <v>2.006661645629606</v>
      </c>
      <c r="AA30">
        <f t="shared" si="4"/>
        <v>0.9153881851959014</v>
      </c>
      <c r="AB30">
        <v>1</v>
      </c>
    </row>
    <row r="31" spans="13:28" ht="12.75">
      <c r="M31">
        <v>29</v>
      </c>
      <c r="N31" s="48">
        <f t="shared" si="0"/>
        <v>72.2833699734471</v>
      </c>
      <c r="O31">
        <f t="shared" si="1"/>
        <v>91.73458593281867</v>
      </c>
      <c r="P31">
        <f t="shared" si="2"/>
        <v>-22.889214782092242</v>
      </c>
      <c r="X31">
        <v>29</v>
      </c>
      <c r="Y31" s="50">
        <f t="shared" si="5"/>
        <v>1.8187477058129815</v>
      </c>
      <c r="Z31">
        <f t="shared" si="3"/>
        <v>1.936237751033417</v>
      </c>
      <c r="AA31">
        <f t="shared" si="4"/>
        <v>0.8832625893291315</v>
      </c>
      <c r="AB31">
        <v>1</v>
      </c>
    </row>
    <row r="32" spans="1:28" ht="12.75">
      <c r="A32" s="53"/>
      <c r="B32" s="53" t="s">
        <v>90</v>
      </c>
      <c r="C32" s="53" t="s">
        <v>91</v>
      </c>
      <c r="D32" s="53" t="s">
        <v>92</v>
      </c>
      <c r="G32" s="76" t="s">
        <v>167</v>
      </c>
      <c r="M32">
        <v>30</v>
      </c>
      <c r="N32" s="48">
        <f t="shared" si="0"/>
        <v>74.08502316453539</v>
      </c>
      <c r="O32">
        <f>($B$4*LOG(M32*1000/$G$18))*$E$8</f>
        <v>93.60517571188943</v>
      </c>
      <c r="P32">
        <f t="shared" si="2"/>
        <v>-22.03589913376713</v>
      </c>
      <c r="X32">
        <v>30</v>
      </c>
      <c r="Y32" s="50">
        <f t="shared" si="5"/>
        <v>1.8016531910882918</v>
      </c>
      <c r="Z32">
        <f t="shared" si="3"/>
        <v>1.8705897790707553</v>
      </c>
      <c r="AA32">
        <f t="shared" si="4"/>
        <v>0.8533156483251112</v>
      </c>
      <c r="AB32">
        <v>1</v>
      </c>
    </row>
    <row r="33" spans="1:28" ht="12.75">
      <c r="A33" s="32" t="s">
        <v>5</v>
      </c>
      <c r="B33" s="55">
        <v>503051.6633922094</v>
      </c>
      <c r="C33" s="62">
        <f>B33/F18</f>
        <v>201.22066535688376</v>
      </c>
      <c r="D33" s="60">
        <f>B2*(C33^B3)*E8</f>
        <v>574.058336592375</v>
      </c>
      <c r="F33" t="s">
        <v>17</v>
      </c>
      <c r="G33" s="24">
        <v>200000</v>
      </c>
      <c r="M33">
        <v>31</v>
      </c>
      <c r="N33" s="48">
        <f t="shared" si="0"/>
        <v>75.8703046429271</v>
      </c>
      <c r="O33">
        <f t="shared" si="1"/>
        <v>95.41442350140066</v>
      </c>
      <c r="P33">
        <f t="shared" si="2"/>
        <v>-21.210566146406055</v>
      </c>
      <c r="X33">
        <v>31</v>
      </c>
      <c r="Y33" s="50">
        <f t="shared" si="5"/>
        <v>1.7852814783917097</v>
      </c>
      <c r="Z33">
        <f t="shared" si="3"/>
        <v>1.8092477895112324</v>
      </c>
      <c r="AA33">
        <f t="shared" si="4"/>
        <v>0.825332987361076</v>
      </c>
      <c r="AB33">
        <v>1</v>
      </c>
    </row>
    <row r="34" spans="1:28" ht="12.75">
      <c r="A34" s="32" t="s">
        <v>44</v>
      </c>
      <c r="B34" s="55">
        <v>66568.12340361626</v>
      </c>
      <c r="C34" s="63">
        <f>B34/G18</f>
        <v>12.103295164293867</v>
      </c>
      <c r="D34" s="60">
        <f>B4*LOG(C34)*E8</f>
        <v>137.58290550557734</v>
      </c>
      <c r="F34" t="s">
        <v>168</v>
      </c>
      <c r="G34" s="24">
        <v>200000</v>
      </c>
      <c r="M34">
        <v>32</v>
      </c>
      <c r="N34" s="48">
        <f t="shared" si="0"/>
        <v>77.63988440072949</v>
      </c>
      <c r="O34">
        <f t="shared" si="1"/>
        <v>97.16622504530037</v>
      </c>
      <c r="P34">
        <f t="shared" si="2"/>
        <v>-20.411438680355054</v>
      </c>
      <c r="X34">
        <v>32</v>
      </c>
      <c r="Y34" s="50">
        <f t="shared" si="5"/>
        <v>1.76957975780239</v>
      </c>
      <c r="Z34">
        <f t="shared" si="3"/>
        <v>1.7518015438997026</v>
      </c>
      <c r="AA34">
        <f t="shared" si="4"/>
        <v>0.7991274660510008</v>
      </c>
      <c r="AB34">
        <v>1</v>
      </c>
    </row>
    <row r="35" spans="1:28" ht="12.75">
      <c r="A35" s="32" t="s">
        <v>45</v>
      </c>
      <c r="B35" s="55">
        <v>30380.21320417438</v>
      </c>
      <c r="C35" s="61">
        <f>B35/H18</f>
        <v>0.42194740561353306</v>
      </c>
      <c r="D35" s="60">
        <f>B5*LOG(C35)*E8</f>
        <v>-21.718899746711408</v>
      </c>
      <c r="F35" t="s">
        <v>19</v>
      </c>
      <c r="G35" s="24">
        <v>200000</v>
      </c>
      <c r="M35">
        <v>33</v>
      </c>
      <c r="N35" s="48">
        <f t="shared" si="0"/>
        <v>79.39438500328107</v>
      </c>
      <c r="O35">
        <f t="shared" si="1"/>
        <v>98.86411636124193</v>
      </c>
      <c r="P35">
        <f t="shared" si="2"/>
        <v>-19.636903693978734</v>
      </c>
      <c r="X35">
        <v>33</v>
      </c>
      <c r="Y35" s="50">
        <f t="shared" si="5"/>
        <v>1.7545006025515875</v>
      </c>
      <c r="Z35">
        <f t="shared" si="3"/>
        <v>1.6978913159415612</v>
      </c>
      <c r="AA35">
        <f t="shared" si="4"/>
        <v>0.7745349863763202</v>
      </c>
      <c r="AB35">
        <v>1</v>
      </c>
    </row>
    <row r="36" spans="8:28" ht="12.75">
      <c r="H36">
        <v>517799</v>
      </c>
      <c r="M36">
        <v>34</v>
      </c>
      <c r="N36" s="48">
        <f t="shared" si="0"/>
        <v>81.13438627750241</v>
      </c>
      <c r="O36">
        <f t="shared" si="1"/>
        <v>100.51131670997484</v>
      </c>
      <c r="P36">
        <f t="shared" si="2"/>
        <v>-18.88549264211325</v>
      </c>
      <c r="X36">
        <v>34</v>
      </c>
      <c r="Y36" s="50">
        <f t="shared" si="5"/>
        <v>1.740001274221342</v>
      </c>
      <c r="Z36">
        <f t="shared" si="3"/>
        <v>1.647200348732909</v>
      </c>
      <c r="AA36">
        <f t="shared" si="4"/>
        <v>0.7514110518654853</v>
      </c>
      <c r="AB36">
        <v>1</v>
      </c>
    </row>
    <row r="37" spans="1:28" ht="12.75">
      <c r="A37" t="s">
        <v>64</v>
      </c>
      <c r="B37" s="58">
        <f>SUM(B33:B36)</f>
        <v>600000.0000000001</v>
      </c>
      <c r="C37" s="58"/>
      <c r="D37" s="59">
        <f>SUM(D33:D35)*1000</f>
        <v>689922.3423512409</v>
      </c>
      <c r="M37">
        <v>35</v>
      </c>
      <c r="N37" s="48">
        <f t="shared" si="0"/>
        <v>82.86042941287556</v>
      </c>
      <c r="O37">
        <f t="shared" si="1"/>
        <v>102.11076533445883</v>
      </c>
      <c r="P37">
        <f t="shared" si="2"/>
        <v>-18.15586471661358</v>
      </c>
      <c r="X37">
        <v>35</v>
      </c>
      <c r="Y37" s="50">
        <f t="shared" si="5"/>
        <v>1.7260431353731462</v>
      </c>
      <c r="Z37">
        <f t="shared" si="3"/>
        <v>1.5994486244839976</v>
      </c>
      <c r="AA37">
        <f t="shared" si="4"/>
        <v>0.7296279254996705</v>
      </c>
      <c r="AB37">
        <v>1</v>
      </c>
    </row>
    <row r="38" spans="13:28" ht="12.75">
      <c r="M38">
        <v>36</v>
      </c>
      <c r="N38" s="48">
        <f t="shared" si="0"/>
        <v>84.57302056328298</v>
      </c>
      <c r="O38">
        <f t="shared" si="1"/>
        <v>103.66515302224018</v>
      </c>
      <c r="P38">
        <f t="shared" si="2"/>
        <v>-17.4467924483974</v>
      </c>
      <c r="X38">
        <v>36</v>
      </c>
      <c r="Y38" s="50">
        <f t="shared" si="5"/>
        <v>1.7125911504074196</v>
      </c>
      <c r="Z38">
        <f t="shared" si="3"/>
        <v>1.5543876877813432</v>
      </c>
      <c r="AA38">
        <f t="shared" si="4"/>
        <v>0.709072268216179</v>
      </c>
      <c r="AB38">
        <v>1</v>
      </c>
    </row>
    <row r="39" spans="13:28" ht="12.75">
      <c r="M39">
        <v>37</v>
      </c>
      <c r="N39" s="48">
        <f t="shared" si="0"/>
        <v>86.27263402260368</v>
      </c>
      <c r="O39">
        <f t="shared" si="1"/>
        <v>105.17694934246803</v>
      </c>
      <c r="P39">
        <f t="shared" si="2"/>
        <v>-16.757149282608474</v>
      </c>
      <c r="X39">
        <v>37</v>
      </c>
      <c r="Y39" s="50">
        <f t="shared" si="5"/>
        <v>1.6996134593207017</v>
      </c>
      <c r="Z39">
        <f t="shared" si="3"/>
        <v>1.5117963202278588</v>
      </c>
      <c r="AA39">
        <f t="shared" si="4"/>
        <v>0.6896431657889259</v>
      </c>
      <c r="AB39">
        <v>1</v>
      </c>
    </row>
    <row r="40" spans="1:28" ht="12.75">
      <c r="A40" s="53"/>
      <c r="B40" s="53" t="s">
        <v>90</v>
      </c>
      <c r="C40" s="54" t="s">
        <v>91</v>
      </c>
      <c r="D40" s="54" t="s">
        <v>92</v>
      </c>
      <c r="M40">
        <v>38</v>
      </c>
      <c r="N40" s="48">
        <f t="shared" si="0"/>
        <v>87.9597150346412</v>
      </c>
      <c r="O40">
        <f t="shared" si="1"/>
        <v>106.64842624992205</v>
      </c>
      <c r="P40">
        <f t="shared" si="2"/>
        <v>-16.085898811057557</v>
      </c>
      <c r="X40">
        <v>38</v>
      </c>
      <c r="Y40" s="50">
        <f aca="true" t="shared" si="6" ref="Y40:Y75">N40-N39</f>
        <v>1.687081012037524</v>
      </c>
      <c r="Z40">
        <f t="shared" si="3"/>
        <v>1.4714769074540186</v>
      </c>
      <c r="AA40">
        <f t="shared" si="4"/>
        <v>0.6712504715509162</v>
      </c>
      <c r="AB40">
        <v>1</v>
      </c>
    </row>
    <row r="41" spans="1:28" ht="12.75">
      <c r="A41" s="32" t="s">
        <v>5</v>
      </c>
      <c r="B41" s="55">
        <v>150000</v>
      </c>
      <c r="C41" s="70">
        <f>B41/F18</f>
        <v>60</v>
      </c>
      <c r="D41" s="56">
        <f>B2*(C41^B3)*E8</f>
        <v>238.40888584715904</v>
      </c>
      <c r="M41">
        <v>39</v>
      </c>
      <c r="N41" s="48">
        <f t="shared" si="0"/>
        <v>89.6346822879832</v>
      </c>
      <c r="O41">
        <f t="shared" si="1"/>
        <v>108.08167862247304</v>
      </c>
      <c r="P41">
        <f t="shared" si="2"/>
        <v>-15.43208540355332</v>
      </c>
      <c r="X41">
        <v>39</v>
      </c>
      <c r="Y41" s="50">
        <f t="shared" si="6"/>
        <v>1.6749672533419897</v>
      </c>
      <c r="Z41">
        <f t="shared" si="3"/>
        <v>1.4332523725509816</v>
      </c>
      <c r="AA41">
        <f t="shared" si="4"/>
        <v>0.6538134075042379</v>
      </c>
      <c r="AB41">
        <v>1</v>
      </c>
    </row>
    <row r="42" spans="1:28" ht="12.75">
      <c r="A42" s="32" t="s">
        <v>44</v>
      </c>
      <c r="B42" s="55">
        <v>150000</v>
      </c>
      <c r="C42" s="72">
        <f>B42/G18</f>
        <v>27.272727272727273</v>
      </c>
      <c r="D42" s="56">
        <f>B4*LOG(C42)*E8</f>
        <v>182.4093147627806</v>
      </c>
      <c r="M42">
        <v>40</v>
      </c>
      <c r="N42" s="48">
        <f t="shared" si="0"/>
        <v>91.29793013827594</v>
      </c>
      <c r="O42">
        <f t="shared" si="1"/>
        <v>109.47864219797393</v>
      </c>
      <c r="P42">
        <f>($B$5*LOG(M42*1000/$H$18))*$E$8</f>
        <v>-14.794826025547257</v>
      </c>
      <c r="X42">
        <v>40</v>
      </c>
      <c r="Y42" s="50">
        <f t="shared" si="6"/>
        <v>1.6632478502927484</v>
      </c>
      <c r="Z42">
        <f t="shared" si="3"/>
        <v>1.396963575500891</v>
      </c>
      <c r="AA42">
        <f t="shared" si="4"/>
        <v>0.6372593780060622</v>
      </c>
      <c r="AB42">
        <v>1</v>
      </c>
    </row>
    <row r="43" spans="1:28" ht="12.75">
      <c r="A43" s="32" t="s">
        <v>45</v>
      </c>
      <c r="B43" s="55">
        <v>150000</v>
      </c>
      <c r="C43" s="57">
        <f>B43/H18</f>
        <v>2.0833333333333335</v>
      </c>
      <c r="D43" s="56">
        <f>B5*LOG(C43)*E8</f>
        <v>18.474298417835467</v>
      </c>
      <c r="M43">
        <v>41</v>
      </c>
      <c r="N43" s="48">
        <f t="shared" si="0"/>
        <v>92.94983059375222</v>
      </c>
      <c r="O43">
        <f t="shared" si="1"/>
        <v>110.84110929599872</v>
      </c>
      <c r="P43">
        <f t="shared" si="2"/>
        <v>-14.173303066274919</v>
      </c>
      <c r="X43">
        <v>41</v>
      </c>
      <c r="Y43" s="50">
        <f t="shared" si="6"/>
        <v>1.6519004554762802</v>
      </c>
      <c r="Z43">
        <f t="shared" si="3"/>
        <v>1.3624670980247942</v>
      </c>
      <c r="AA43">
        <f t="shared" si="4"/>
        <v>0.6215229592723386</v>
      </c>
      <c r="AB43">
        <v>1</v>
      </c>
    </row>
    <row r="44" spans="13:28" ht="12.75">
      <c r="M44">
        <v>42</v>
      </c>
      <c r="N44" s="48">
        <f t="shared" si="0"/>
        <v>94.59073509438016</v>
      </c>
      <c r="O44">
        <f t="shared" si="1"/>
        <v>112.17074264480956</v>
      </c>
      <c r="P44">
        <f t="shared" si="2"/>
        <v>-13.566758031243847</v>
      </c>
      <c r="X44">
        <v>42</v>
      </c>
      <c r="Y44" s="50">
        <f t="shared" si="6"/>
        <v>1.64090450062794</v>
      </c>
      <c r="Z44">
        <f t="shared" si="3"/>
        <v>1.3296333488108445</v>
      </c>
      <c r="AA44">
        <f t="shared" si="4"/>
        <v>0.6065450350310719</v>
      </c>
      <c r="AB44">
        <v>1</v>
      </c>
    </row>
    <row r="45" spans="2:28" ht="12.75">
      <c r="B45" s="58"/>
      <c r="C45" s="58"/>
      <c r="D45" s="59">
        <f>SUM(D41:D43)*1000</f>
        <v>439292.49902777513</v>
      </c>
      <c r="M45">
        <v>43</v>
      </c>
      <c r="N45" s="48">
        <f t="shared" si="0"/>
        <v>96.22097611047855</v>
      </c>
      <c r="O45">
        <f t="shared" si="1"/>
        <v>113.46908758114277</v>
      </c>
      <c r="P45">
        <f t="shared" si="2"/>
        <v>-12.974485977000521</v>
      </c>
      <c r="X45">
        <v>43</v>
      </c>
      <c r="Y45" s="50">
        <f t="shared" si="6"/>
        <v>1.6302410160983811</v>
      </c>
      <c r="Z45">
        <f t="shared" si="3"/>
        <v>1.2983449363332085</v>
      </c>
      <c r="AA45">
        <f t="shared" si="4"/>
        <v>0.5922720542433257</v>
      </c>
      <c r="AB45">
        <v>1</v>
      </c>
    </row>
    <row r="46" spans="13:28" ht="12.75">
      <c r="M46">
        <v>44</v>
      </c>
      <c r="N46" s="48">
        <f t="shared" si="0"/>
        <v>97.84086858288018</v>
      </c>
      <c r="O46">
        <f t="shared" si="1"/>
        <v>114.73758284732642</v>
      </c>
      <c r="P46">
        <f t="shared" si="2"/>
        <v>-12.395830585758858</v>
      </c>
      <c r="X46">
        <v>44</v>
      </c>
      <c r="Y46" s="50">
        <f t="shared" si="6"/>
        <v>1.6198924724016308</v>
      </c>
      <c r="Z46">
        <f t="shared" si="3"/>
        <v>1.268495266183649</v>
      </c>
      <c r="AA46">
        <f t="shared" si="4"/>
        <v>0.5786553912416625</v>
      </c>
      <c r="AB46">
        <v>1</v>
      </c>
    </row>
    <row r="47" spans="13:28" ht="12.75">
      <c r="M47">
        <v>45</v>
      </c>
      <c r="N47" s="48">
        <f t="shared" si="0"/>
        <v>99.45071122358651</v>
      </c>
      <c r="O47">
        <f t="shared" si="1"/>
        <v>115.97757017491372</v>
      </c>
      <c r="P47">
        <f t="shared" si="2"/>
        <v>-11.830179793589606</v>
      </c>
      <c r="X47">
        <v>45</v>
      </c>
      <c r="Y47" s="50">
        <f t="shared" si="6"/>
        <v>1.6098426407063329</v>
      </c>
      <c r="Z47">
        <f t="shared" si="3"/>
        <v>1.2399873275873006</v>
      </c>
      <c r="AA47">
        <f t="shared" si="4"/>
        <v>0.5656507921692526</v>
      </c>
      <c r="AB47">
        <v>1</v>
      </c>
    </row>
    <row r="48" spans="13:28" ht="12.75">
      <c r="M48">
        <v>46</v>
      </c>
      <c r="N48" s="48">
        <f t="shared" si="0"/>
        <v>101.05078769322125</v>
      </c>
      <c r="O48">
        <f t="shared" si="1"/>
        <v>117.1903028149003</v>
      </c>
      <c r="P48">
        <f t="shared" si="2"/>
        <v>-11.276961899151392</v>
      </c>
      <c r="X48">
        <v>46</v>
      </c>
      <c r="Y48" s="50">
        <f t="shared" si="6"/>
        <v>1.6000764696347431</v>
      </c>
      <c r="Z48">
        <f t="shared" si="3"/>
        <v>1.2127326399865836</v>
      </c>
      <c r="AA48">
        <f t="shared" si="4"/>
        <v>0.5532178944382142</v>
      </c>
      <c r="AB48">
        <v>1</v>
      </c>
    </row>
    <row r="49" spans="13:28" ht="12.75">
      <c r="M49">
        <v>47</v>
      </c>
      <c r="N49" s="48">
        <f t="shared" si="0"/>
        <v>102.641367669372</v>
      </c>
      <c r="O49">
        <f t="shared" si="1"/>
        <v>118.37695315048921</v>
      </c>
      <c r="P49">
        <f t="shared" si="2"/>
        <v>-10.735642090940264</v>
      </c>
      <c r="X49">
        <v>47</v>
      </c>
      <c r="Y49" s="50">
        <f t="shared" si="6"/>
        <v>1.5905799761507495</v>
      </c>
      <c r="Z49">
        <f t="shared" si="3"/>
        <v>1.186650335588908</v>
      </c>
      <c r="AA49">
        <f t="shared" si="4"/>
        <v>0.5413198082111279</v>
      </c>
      <c r="AB49">
        <v>1</v>
      </c>
    </row>
    <row r="50" spans="13:28" ht="12.75">
      <c r="M50">
        <v>48</v>
      </c>
      <c r="N50" s="48">
        <f t="shared" si="0"/>
        <v>104.22270781803313</v>
      </c>
      <c r="O50">
        <f t="shared" si="1"/>
        <v>119.53861950832466</v>
      </c>
      <c r="P50">
        <f t="shared" si="2"/>
        <v>-10.205719340177527</v>
      </c>
      <c r="X50">
        <v>48</v>
      </c>
      <c r="Y50" s="50">
        <f t="shared" si="6"/>
        <v>1.581340148661127</v>
      </c>
      <c r="Z50">
        <f t="shared" si="3"/>
        <v>1.1616663578354434</v>
      </c>
      <c r="AA50">
        <f t="shared" si="4"/>
        <v>0.5299227507627364</v>
      </c>
      <c r="AB50">
        <v>1</v>
      </c>
    </row>
    <row r="51" spans="13:28" ht="12.75">
      <c r="M51">
        <v>49</v>
      </c>
      <c r="N51" s="48">
        <f t="shared" si="0"/>
        <v>105.79505267876979</v>
      </c>
      <c r="O51">
        <f t="shared" si="1"/>
        <v>120.67633226737895</v>
      </c>
      <c r="P51">
        <f t="shared" si="2"/>
        <v>-9.686723614090294</v>
      </c>
      <c r="X51">
        <v>49</v>
      </c>
      <c r="Y51" s="50">
        <f t="shared" si="6"/>
        <v>1.5723448607366635</v>
      </c>
      <c r="Z51">
        <f t="shared" si="3"/>
        <v>1.1377127590542955</v>
      </c>
      <c r="AA51">
        <f t="shared" si="4"/>
        <v>0.5189957260872333</v>
      </c>
      <c r="AB51">
        <v>1</v>
      </c>
    </row>
    <row r="52" spans="13:28" ht="12.75">
      <c r="M52">
        <v>50</v>
      </c>
      <c r="N52" s="48">
        <f t="shared" si="0"/>
        <v>107.35863547286789</v>
      </c>
      <c r="O52">
        <f t="shared" si="1"/>
        <v>121.7910593506475</v>
      </c>
      <c r="P52">
        <f t="shared" si="2"/>
        <v>-9.178213370739464</v>
      </c>
      <c r="X52">
        <v>50</v>
      </c>
      <c r="Y52" s="50">
        <f t="shared" si="6"/>
        <v>1.563582794098096</v>
      </c>
      <c r="Z52">
        <f t="shared" si="3"/>
        <v>1.1147270832685479</v>
      </c>
      <c r="AA52">
        <f t="shared" si="4"/>
        <v>0.5085102433508304</v>
      </c>
      <c r="AB52">
        <v>1</v>
      </c>
    </row>
    <row r="53" spans="13:28" ht="12.75">
      <c r="M53">
        <v>51</v>
      </c>
      <c r="N53" s="48">
        <f t="shared" si="0"/>
        <v>108.91367884257328</v>
      </c>
      <c r="O53">
        <f t="shared" si="1"/>
        <v>122.88371117299914</v>
      </c>
      <c r="P53">
        <f t="shared" si="2"/>
        <v>-8.679773301935722</v>
      </c>
      <c r="X53">
        <v>51</v>
      </c>
      <c r="Y53" s="50">
        <f t="shared" si="6"/>
        <v>1.5550433697053876</v>
      </c>
      <c r="Z53">
        <f t="shared" si="3"/>
        <v>1.092651822351641</v>
      </c>
      <c r="AA53">
        <f t="shared" si="4"/>
        <v>0.4984400688037418</v>
      </c>
      <c r="AB53">
        <v>1</v>
      </c>
    </row>
    <row r="54" spans="13:28" ht="12.75">
      <c r="M54">
        <v>52</v>
      </c>
      <c r="N54" s="48">
        <f t="shared" si="0"/>
        <v>110.46039552852957</v>
      </c>
      <c r="O54">
        <f t="shared" si="1"/>
        <v>123.95514510855755</v>
      </c>
      <c r="P54">
        <f t="shared" si="2"/>
        <v>-8.191012295333444</v>
      </c>
      <c r="X54">
        <v>52</v>
      </c>
      <c r="Y54" s="50">
        <f t="shared" si="6"/>
        <v>1.546716685956298</v>
      </c>
      <c r="Z54">
        <f t="shared" si="3"/>
        <v>1.071433935558403</v>
      </c>
      <c r="AA54">
        <f t="shared" si="4"/>
        <v>0.48876100660227806</v>
      </c>
      <c r="AB54">
        <v>1</v>
      </c>
    </row>
    <row r="55" spans="13:28" ht="12.75">
      <c r="M55">
        <v>53</v>
      </c>
      <c r="N55" s="48">
        <f t="shared" si="0"/>
        <v>111.99898899166864</v>
      </c>
      <c r="O55">
        <f t="shared" si="1"/>
        <v>125.00616953253656</v>
      </c>
      <c r="P55">
        <f t="shared" si="2"/>
        <v>-7.7115615906478245</v>
      </c>
      <c r="X55">
        <v>53</v>
      </c>
      <c r="Y55" s="50">
        <f t="shared" si="6"/>
        <v>1.5385934631390654</v>
      </c>
      <c r="Z55">
        <f t="shared" si="3"/>
        <v>1.0510244239790154</v>
      </c>
      <c r="AA55">
        <f t="shared" si="4"/>
        <v>0.4794507046856191</v>
      </c>
      <c r="AB55">
        <v>1</v>
      </c>
    </row>
    <row r="56" spans="13:28" ht="12.75">
      <c r="M56">
        <v>54</v>
      </c>
      <c r="N56" s="48">
        <f t="shared" si="0"/>
        <v>113.52965398506868</v>
      </c>
      <c r="O56">
        <f t="shared" si="1"/>
        <v>126.03754748526447</v>
      </c>
      <c r="P56">
        <f t="shared" si="2"/>
        <v>-7.241073108219873</v>
      </c>
      <c r="X56">
        <v>54</v>
      </c>
      <c r="Y56" s="50">
        <f t="shared" si="6"/>
        <v>1.5306649934000376</v>
      </c>
      <c r="Z56">
        <f t="shared" si="3"/>
        <v>1.031377952727908</v>
      </c>
      <c r="AA56">
        <f t="shared" si="4"/>
        <v>0.4704884824279514</v>
      </c>
      <c r="AB56">
        <v>1</v>
      </c>
    </row>
    <row r="57" spans="13:28" ht="12.75">
      <c r="M57">
        <v>55</v>
      </c>
      <c r="N57" s="48">
        <f t="shared" si="0"/>
        <v>115.05257708065452</v>
      </c>
      <c r="O57">
        <f t="shared" si="1"/>
        <v>127.05</v>
      </c>
      <c r="P57">
        <f t="shared" si="2"/>
        <v>-6.779217930951067</v>
      </c>
      <c r="X57">
        <v>55</v>
      </c>
      <c r="Y57" s="50">
        <f t="shared" si="6"/>
        <v>1.5229230955858384</v>
      </c>
      <c r="Z57">
        <f t="shared" si="3"/>
        <v>1.0124525147355286</v>
      </c>
      <c r="AA57">
        <f t="shared" si="4"/>
        <v>0.46185517726880576</v>
      </c>
      <c r="AB57">
        <v>1</v>
      </c>
    </row>
    <row r="58" spans="13:28" ht="12.75">
      <c r="M58">
        <v>56</v>
      </c>
      <c r="N58" s="48">
        <f t="shared" si="0"/>
        <v>116.5679371550622</v>
      </c>
      <c r="O58">
        <f t="shared" si="1"/>
        <v>128.04420913089407</v>
      </c>
      <c r="P58">
        <f t="shared" si="2"/>
        <v>-6.325684923023973</v>
      </c>
      <c r="X58">
        <v>56</v>
      </c>
      <c r="Y58" s="50">
        <f t="shared" si="6"/>
        <v>1.5153600744076812</v>
      </c>
      <c r="Z58">
        <f t="shared" si="3"/>
        <v>0.9942091308940775</v>
      </c>
      <c r="AA58">
        <f t="shared" si="4"/>
        <v>0.4535330079270947</v>
      </c>
      <c r="AB58">
        <v>1</v>
      </c>
    </row>
    <row r="59" spans="13:28" ht="12.75">
      <c r="M59">
        <v>57</v>
      </c>
      <c r="N59" s="48">
        <f t="shared" si="0"/>
        <v>118.07590583850391</v>
      </c>
      <c r="O59">
        <f t="shared" si="1"/>
        <v>129.02082071294635</v>
      </c>
      <c r="P59">
        <f t="shared" si="2"/>
        <v>-5.8801794708800355</v>
      </c>
      <c r="X59">
        <v>57</v>
      </c>
      <c r="Y59" s="50">
        <f t="shared" si="6"/>
        <v>1.5079686834417174</v>
      </c>
      <c r="Z59">
        <f t="shared" si="3"/>
        <v>0.9766115820522714</v>
      </c>
      <c r="AA59">
        <f t="shared" si="4"/>
        <v>0.4455054521439372</v>
      </c>
      <c r="AB59">
        <v>1</v>
      </c>
    </row>
    <row r="60" spans="13:28" ht="12.75">
      <c r="M60">
        <v>58</v>
      </c>
      <c r="N60" s="48">
        <f t="shared" si="0"/>
        <v>119.57664793005064</v>
      </c>
      <c r="O60">
        <f>($B$4*LOG(M60*1000/$G$18))*$E$8</f>
        <v>129.9804468819275</v>
      </c>
      <c r="P60">
        <f t="shared" si="2"/>
        <v>-5.442422333694839</v>
      </c>
      <c r="X60">
        <v>58</v>
      </c>
      <c r="Y60" s="50">
        <f t="shared" si="6"/>
        <v>1.5007420915467264</v>
      </c>
      <c r="Z60">
        <f t="shared" si="3"/>
        <v>0.9596261689811456</v>
      </c>
      <c r="AA60">
        <f t="shared" si="4"/>
        <v>0.43775713718519604</v>
      </c>
      <c r="AB60">
        <v>1</v>
      </c>
    </row>
    <row r="61" spans="13:28" ht="12.75">
      <c r="M61">
        <v>59</v>
      </c>
      <c r="N61" s="48">
        <f t="shared" si="0"/>
        <v>121.07032178237836</v>
      </c>
      <c r="O61">
        <f t="shared" si="1"/>
        <v>130.92366837889074</v>
      </c>
      <c r="P61">
        <f>($B$5*LOG(M61*1000/$H$18))*$E$8</f>
        <v>-5.012148592118427</v>
      </c>
      <c r="X61">
        <v>59</v>
      </c>
      <c r="Y61" s="50">
        <f t="shared" si="6"/>
        <v>1.493673852327717</v>
      </c>
      <c r="Z61">
        <f t="shared" si="3"/>
        <v>0.9432214969632469</v>
      </c>
      <c r="AA61">
        <f t="shared" si="4"/>
        <v>0.4302737415764124</v>
      </c>
      <c r="AB61">
        <v>1</v>
      </c>
    </row>
    <row r="62" spans="13:28" ht="12.75">
      <c r="M62">
        <v>60</v>
      </c>
      <c r="N62" s="48">
        <f t="shared" si="0"/>
        <v>122.55707965870354</v>
      </c>
      <c r="O62">
        <f t="shared" si="1"/>
        <v>131.85103666099823</v>
      </c>
      <c r="P62">
        <f t="shared" si="2"/>
        <v>-4.58910668536973</v>
      </c>
      <c r="X62">
        <v>60</v>
      </c>
      <c r="Y62" s="50">
        <f t="shared" si="6"/>
        <v>1.4867578763251856</v>
      </c>
      <c r="Z62">
        <f t="shared" si="3"/>
        <v>0.9273682821074942</v>
      </c>
      <c r="AA62">
        <f t="shared" si="4"/>
        <v>0.423041906748697</v>
      </c>
      <c r="AB62">
        <v>1</v>
      </c>
    </row>
    <row r="63" spans="13:28" ht="12.75">
      <c r="M63">
        <v>61</v>
      </c>
      <c r="N63" s="48">
        <f t="shared" si="0"/>
        <v>124.03706806434549</v>
      </c>
      <c r="O63">
        <f t="shared" si="1"/>
        <v>132.76307583787425</v>
      </c>
      <c r="P63">
        <f t="shared" si="2"/>
        <v>-4.1730575279213875</v>
      </c>
      <c r="X63">
        <v>61</v>
      </c>
      <c r="Y63" s="50">
        <f t="shared" si="6"/>
        <v>1.4799884056419472</v>
      </c>
      <c r="Z63">
        <f t="shared" si="3"/>
        <v>0.9120391768760214</v>
      </c>
      <c r="AA63">
        <f t="shared" si="4"/>
        <v>0.4160491574483425</v>
      </c>
      <c r="AB63">
        <v>1</v>
      </c>
    </row>
    <row r="64" spans="13:28" ht="12.75">
      <c r="M64">
        <v>62</v>
      </c>
      <c r="N64" s="48">
        <f t="shared" si="0"/>
        <v>125.51042805510653</v>
      </c>
      <c r="O64">
        <f t="shared" si="1"/>
        <v>133.66028445050947</v>
      </c>
      <c r="P64">
        <f t="shared" si="2"/>
        <v>-3.7637736980086554</v>
      </c>
      <c r="X64">
        <v>62</v>
      </c>
      <c r="Y64" s="50">
        <f t="shared" si="6"/>
        <v>1.4733599907610397</v>
      </c>
      <c r="Z64">
        <f t="shared" si="3"/>
        <v>0.897208612635211</v>
      </c>
      <c r="AA64">
        <f t="shared" si="4"/>
        <v>0.40928382991273216</v>
      </c>
      <c r="AB64">
        <v>1</v>
      </c>
    </row>
    <row r="65" spans="13:28" ht="12.75">
      <c r="M65">
        <v>63</v>
      </c>
      <c r="N65" s="48">
        <f t="shared" si="0"/>
        <v>126.97729552443698</v>
      </c>
      <c r="O65">
        <f t="shared" si="1"/>
        <v>134.54313710783387</v>
      </c>
      <c r="P65">
        <f t="shared" si="2"/>
        <v>-3.3610386910663212</v>
      </c>
      <c r="X65">
        <v>63</v>
      </c>
      <c r="Y65" s="50">
        <f t="shared" si="6"/>
        <v>1.4668674693304524</v>
      </c>
      <c r="Z65">
        <f t="shared" si="3"/>
        <v>0.8828526573244062</v>
      </c>
      <c r="AA65">
        <f t="shared" si="4"/>
        <v>0.4027350069423341</v>
      </c>
      <c r="AB65">
        <v>1</v>
      </c>
    </row>
    <row r="66" spans="13:28" ht="12.75">
      <c r="M66">
        <v>64</v>
      </c>
      <c r="N66" s="48">
        <f t="shared" si="0"/>
        <v>128.43780147115797</v>
      </c>
      <c r="O66">
        <f t="shared" si="1"/>
        <v>135.41208599440918</v>
      </c>
      <c r="P66">
        <f t="shared" si="2"/>
        <v>-2.964646231957654</v>
      </c>
      <c r="X66">
        <v>64</v>
      </c>
      <c r="Y66" s="50">
        <f t="shared" si="6"/>
        <v>1.4605059467209855</v>
      </c>
      <c r="Z66">
        <f t="shared" si="3"/>
        <v>0.8689488865753106</v>
      </c>
      <c r="AA66">
        <f t="shared" si="4"/>
        <v>0.39639245910866716</v>
      </c>
      <c r="AB66">
        <v>1</v>
      </c>
    </row>
    <row r="67" spans="13:28" ht="12.75">
      <c r="M67">
        <v>65</v>
      </c>
      <c r="N67" s="48">
        <f t="shared" si="0"/>
        <v>129.89207224934083</v>
      </c>
      <c r="O67">
        <f t="shared" si="1"/>
        <v>136.26756226123112</v>
      </c>
      <c r="P67">
        <f t="shared" si="2"/>
        <v>-2.5743996405256473</v>
      </c>
      <c r="X67">
        <v>65</v>
      </c>
      <c r="Y67" s="50">
        <f t="shared" si="6"/>
        <v>1.4542707781828597</v>
      </c>
      <c r="Z67">
        <f t="shared" si="3"/>
        <v>0.8554762668219382</v>
      </c>
      <c r="AA67">
        <f t="shared" si="4"/>
        <v>0.3902465914320068</v>
      </c>
      <c r="AB67">
        <v>1</v>
      </c>
    </row>
    <row r="68" spans="13:28" ht="12.75">
      <c r="M68">
        <v>66</v>
      </c>
      <c r="N68" s="48">
        <f aca="true" t="shared" si="7" ref="N68:N73">($B$2*(M68*1000/$F$18)^$B$3)*$E$8</f>
        <v>131.3402298017884</v>
      </c>
      <c r="O68">
        <f aca="true" t="shared" si="8" ref="O68:O91">($B$4*LOG(M68*1000/$G$18))*$E$8</f>
        <v>137.10997731035073</v>
      </c>
      <c r="P68">
        <f aca="true" t="shared" si="9" ref="P68:P79">($B$5*LOG(M68*1000/$H$18))*$E$8</f>
        <v>-2.190111245581335</v>
      </c>
      <c r="X68">
        <v>66</v>
      </c>
      <c r="Y68" s="50">
        <f t="shared" si="6"/>
        <v>1.448157552447583</v>
      </c>
      <c r="Z68">
        <f t="shared" si="3"/>
        <v>0.8424150491196087</v>
      </c>
      <c r="AA68">
        <f t="shared" si="4"/>
        <v>0.3842883949443121</v>
      </c>
      <c r="AB68">
        <v>1</v>
      </c>
    </row>
    <row r="69" spans="13:28" ht="12.75">
      <c r="M69">
        <v>67</v>
      </c>
      <c r="N69" s="48">
        <f t="shared" si="7"/>
        <v>132.78239187842587</v>
      </c>
      <c r="O69">
        <f t="shared" si="8"/>
        <v>137.9397239828963</v>
      </c>
      <c r="P69">
        <f t="shared" si="9"/>
        <v>-1.8116018429582903</v>
      </c>
      <c r="X69">
        <v>67</v>
      </c>
      <c r="Y69" s="50">
        <f t="shared" si="6"/>
        <v>1.4421620766374588</v>
      </c>
      <c r="Z69">
        <f aca="true" t="shared" si="10" ref="Z69:AA73">O69-O68</f>
        <v>0.829746672545582</v>
      </c>
      <c r="AA69">
        <f t="shared" si="10"/>
        <v>0.3785094026230449</v>
      </c>
      <c r="AB69">
        <v>1</v>
      </c>
    </row>
    <row r="70" spans="13:28" ht="12.75">
      <c r="M70">
        <v>68</v>
      </c>
      <c r="N70" s="48">
        <f t="shared" si="7"/>
        <v>134.2186722407869</v>
      </c>
      <c r="O70">
        <f t="shared" si="8"/>
        <v>138.75717765908362</v>
      </c>
      <c r="P70">
        <f t="shared" si="9"/>
        <v>-1.438700193715851</v>
      </c>
      <c r="X70">
        <v>68</v>
      </c>
      <c r="Y70" s="50">
        <f t="shared" si="6"/>
        <v>1.4362803623610318</v>
      </c>
      <c r="Z70">
        <f t="shared" si="10"/>
        <v>0.8174536761873128</v>
      </c>
      <c r="AA70">
        <f t="shared" si="10"/>
        <v>0.3729016492424393</v>
      </c>
      <c r="AB70">
        <v>1</v>
      </c>
    </row>
    <row r="71" spans="13:28" ht="12.75">
      <c r="M71">
        <v>69</v>
      </c>
      <c r="N71" s="48">
        <f t="shared" si="7"/>
        <v>135.6491808536714</v>
      </c>
      <c r="O71">
        <f t="shared" si="8"/>
        <v>139.56269727792463</v>
      </c>
      <c r="P71">
        <f t="shared" si="9"/>
        <v>-1.0712425589738617</v>
      </c>
      <c r="X71">
        <v>69</v>
      </c>
      <c r="Y71" s="50">
        <f t="shared" si="6"/>
        <v>1.4305086128844948</v>
      </c>
      <c r="Z71">
        <f t="shared" si="10"/>
        <v>0.8055196188410036</v>
      </c>
      <c r="AA71">
        <f t="shared" si="10"/>
        <v>0.36745763474198934</v>
      </c>
      <c r="AB71">
        <v>1</v>
      </c>
    </row>
    <row r="72" spans="13:28" ht="12.75">
      <c r="M72">
        <v>70</v>
      </c>
      <c r="N72" s="48">
        <f t="shared" si="7"/>
        <v>137.07402406495365</v>
      </c>
      <c r="O72">
        <f t="shared" si="8"/>
        <v>140.35662628356764</v>
      </c>
      <c r="P72">
        <f t="shared" si="9"/>
        <v>-0.7090722682161791</v>
      </c>
      <c r="X72">
        <v>70</v>
      </c>
      <c r="Y72" s="50">
        <f t="shared" si="6"/>
        <v>1.4248432112822513</v>
      </c>
      <c r="Z72">
        <f t="shared" si="10"/>
        <v>0.7939290056430082</v>
      </c>
      <c r="AA72">
        <f t="shared" si="10"/>
        <v>0.3621702907576826</v>
      </c>
      <c r="AB72">
        <v>1</v>
      </c>
    </row>
    <row r="73" spans="13:28" ht="12.75">
      <c r="M73">
        <v>71</v>
      </c>
      <c r="N73" s="48">
        <f t="shared" si="7"/>
        <v>138.49330477443243</v>
      </c>
      <c r="O73">
        <f t="shared" si="8"/>
        <v>141.13929350451482</v>
      </c>
      <c r="P73">
        <f t="shared" si="9"/>
        <v>-0.35203931821410134</v>
      </c>
      <c r="X73">
        <v>71</v>
      </c>
      <c r="Y73" s="50">
        <f t="shared" si="6"/>
        <v>1.4192807094787838</v>
      </c>
      <c r="Z73">
        <f t="shared" si="10"/>
        <v>0.7826672209471894</v>
      </c>
      <c r="AA73">
        <f t="shared" si="10"/>
        <v>0.35703295000207774</v>
      </c>
      <c r="AB73">
        <v>1</v>
      </c>
    </row>
    <row r="74" spans="13:28" ht="12.75">
      <c r="M74">
        <v>72</v>
      </c>
      <c r="N74" s="48">
        <f>($B$2*(M74*1000/$F$18)^$B$3)*$E$8</f>
        <v>139.90712259253488</v>
      </c>
      <c r="O74">
        <f t="shared" si="8"/>
        <v>141.91101397134898</v>
      </c>
      <c r="P74">
        <f t="shared" si="9"/>
        <v>0</v>
      </c>
      <c r="X74">
        <v>72</v>
      </c>
      <c r="Y74" s="50">
        <f t="shared" si="6"/>
        <v>1.4138178181024443</v>
      </c>
      <c r="Z74">
        <f aca="true" t="shared" si="11" ref="Z74:AA101">O74-O73</f>
        <v>0.7717204668341537</v>
      </c>
      <c r="AA74">
        <f t="shared" si="11"/>
        <v>0.35203931821410134</v>
      </c>
      <c r="AB74">
        <v>1</v>
      </c>
    </row>
    <row r="75" spans="13:28" ht="12.75">
      <c r="M75">
        <v>73</v>
      </c>
      <c r="N75" s="48">
        <f aca="true" t="shared" si="12" ref="N75:N99">($B$2*(M75*1000/$F$18)^$B$3)*$E$8</f>
        <v>141.31557398961678</v>
      </c>
      <c r="O75">
        <f t="shared" si="8"/>
        <v>142.67208967806022</v>
      </c>
      <c r="P75">
        <f t="shared" si="9"/>
        <v>0.3471834484305984</v>
      </c>
      <c r="X75">
        <v>73</v>
      </c>
      <c r="Y75" s="50">
        <f t="shared" si="6"/>
        <v>1.4084513970819046</v>
      </c>
      <c r="Z75">
        <f t="shared" si="11"/>
        <v>0.7610757067112388</v>
      </c>
      <c r="AA75">
        <f t="shared" si="11"/>
        <v>0.3471834484305984</v>
      </c>
      <c r="AB75">
        <v>1</v>
      </c>
    </row>
    <row r="76" spans="13:28" ht="12.75">
      <c r="M76">
        <v>74</v>
      </c>
      <c r="N76" s="48">
        <f t="shared" si="12"/>
        <v>142.7187524365367</v>
      </c>
      <c r="O76">
        <f t="shared" si="8"/>
        <v>143.42281029157684</v>
      </c>
      <c r="P76">
        <f t="shared" si="9"/>
        <v>0.6896431657889255</v>
      </c>
      <c r="X76">
        <v>74</v>
      </c>
      <c r="Y76" s="50">
        <f aca="true" t="shared" si="13" ref="Y76:Y99">N76-N75</f>
        <v>1.4031784469199238</v>
      </c>
      <c r="Z76">
        <f t="shared" si="11"/>
        <v>0.75072061351662</v>
      </c>
      <c r="AA76">
        <f t="shared" si="11"/>
        <v>0.3424597173583271</v>
      </c>
      <c r="AB76">
        <v>1</v>
      </c>
    </row>
    <row r="77" spans="13:28" ht="12.75">
      <c r="M77">
        <v>75</v>
      </c>
      <c r="N77" s="48">
        <f t="shared" si="12"/>
        <v>144.11674853712563</v>
      </c>
      <c r="O77">
        <f t="shared" si="8"/>
        <v>144.16345381367182</v>
      </c>
      <c r="P77">
        <f t="shared" si="9"/>
        <v>1.0275059694380655</v>
      </c>
      <c r="X77">
        <v>75</v>
      </c>
      <c r="Y77" s="50">
        <f t="shared" si="13"/>
        <v>1.3979961005889265</v>
      </c>
      <c r="Z77">
        <f t="shared" si="11"/>
        <v>0.7406435220949845</v>
      </c>
      <c r="AA77">
        <f t="shared" si="11"/>
        <v>0.33786280364914</v>
      </c>
      <c r="AB77">
        <v>1</v>
      </c>
    </row>
    <row r="78" spans="13:28" ht="12.75">
      <c r="M78">
        <v>76</v>
      </c>
      <c r="N78" s="48">
        <f t="shared" si="12"/>
        <v>145.50965015312062</v>
      </c>
      <c r="O78">
        <f t="shared" si="8"/>
        <v>144.89428719903086</v>
      </c>
      <c r="P78">
        <f t="shared" si="9"/>
        <v>1.3608936373398401</v>
      </c>
      <c r="X78">
        <v>76</v>
      </c>
      <c r="Y78" s="50">
        <f t="shared" si="13"/>
        <v>1.3929016159949867</v>
      </c>
      <c r="Z78">
        <f t="shared" si="11"/>
        <v>0.7308333853590341</v>
      </c>
      <c r="AA78">
        <f t="shared" si="11"/>
        <v>0.33338766790177465</v>
      </c>
      <c r="AB78">
        <v>1</v>
      </c>
    </row>
    <row r="79" spans="13:28" ht="12.75">
      <c r="M79">
        <v>77</v>
      </c>
      <c r="N79" s="48">
        <f t="shared" si="12"/>
        <v>146.89754252208445</v>
      </c>
      <c r="O79">
        <f t="shared" si="8"/>
        <v>145.6155669329201</v>
      </c>
      <c r="P79">
        <f t="shared" si="9"/>
        <v>1.6899231715722176</v>
      </c>
      <c r="X79">
        <v>77</v>
      </c>
      <c r="Y79" s="50">
        <f t="shared" si="13"/>
        <v>1.3878923689638327</v>
      </c>
      <c r="Z79">
        <f t="shared" si="11"/>
        <v>0.7212797338892472</v>
      </c>
      <c r="AA79">
        <f t="shared" si="11"/>
        <v>0.32902953423237746</v>
      </c>
      <c r="AB79">
        <v>1</v>
      </c>
    </row>
    <row r="80" spans="13:28" ht="12.75">
      <c r="M80">
        <v>78</v>
      </c>
      <c r="N80" s="48">
        <f t="shared" si="12"/>
        <v>148.2805083687906</v>
      </c>
      <c r="O80">
        <f t="shared" si="8"/>
        <v>146.32753957158184</v>
      </c>
      <c r="P80">
        <f>($B$5*LOG(M80*1000/$H$18))*$E$8</f>
        <v>2.014707044844082</v>
      </c>
      <c r="X80">
        <v>78</v>
      </c>
      <c r="Y80" s="50">
        <f t="shared" si="13"/>
        <v>1.3829658467061563</v>
      </c>
      <c r="Z80">
        <f t="shared" si="11"/>
        <v>0.7119726386617344</v>
      </c>
      <c r="AA80">
        <f t="shared" si="11"/>
        <v>0.3247838732718642</v>
      </c>
      <c r="AB80">
        <v>1</v>
      </c>
    </row>
    <row r="81" spans="13:28" ht="12.75">
      <c r="M81">
        <v>79</v>
      </c>
      <c r="N81" s="48">
        <f t="shared" si="12"/>
        <v>149.65862801051665</v>
      </c>
      <c r="O81">
        <f t="shared" si="8"/>
        <v>147.03044224820687</v>
      </c>
      <c r="P81">
        <f aca="true" t="shared" si="14" ref="P81:P101">($B$5*LOG(M81*1000/$H$18))*$E$8</f>
        <v>2.335353431307141</v>
      </c>
      <c r="X81">
        <v>79</v>
      </c>
      <c r="Y81" s="50">
        <f t="shared" si="13"/>
        <v>1.3781196417260446</v>
      </c>
      <c r="Z81">
        <f t="shared" si="11"/>
        <v>0.7029026766250297</v>
      </c>
      <c r="AA81">
        <f t="shared" si="11"/>
        <v>0.3206463864630593</v>
      </c>
      <c r="AB81">
        <v>1</v>
      </c>
    </row>
    <row r="82" spans="13:28" ht="12.75">
      <c r="M82">
        <v>80</v>
      </c>
      <c r="N82" s="48">
        <f t="shared" si="12"/>
        <v>151.03197945664846</v>
      </c>
      <c r="O82">
        <f t="shared" si="8"/>
        <v>147.72450314708271</v>
      </c>
      <c r="P82">
        <f t="shared" si="14"/>
        <v>2.651966422850143</v>
      </c>
      <c r="X82">
        <v>80</v>
      </c>
      <c r="Y82" s="50">
        <f t="shared" si="13"/>
        <v>1.3733514461318066</v>
      </c>
      <c r="Z82">
        <f t="shared" si="11"/>
        <v>0.694060898875847</v>
      </c>
      <c r="AA82">
        <f t="shared" si="11"/>
        <v>0.31661299154300204</v>
      </c>
      <c r="AB82">
        <v>1</v>
      </c>
    </row>
    <row r="83" spans="13:28" ht="12.75">
      <c r="M83">
        <v>81</v>
      </c>
      <c r="N83" s="48">
        <f t="shared" si="12"/>
        <v>152.40063850297327</v>
      </c>
      <c r="O83">
        <f t="shared" si="8"/>
        <v>148.40994194828875</v>
      </c>
      <c r="P83">
        <f t="shared" si="14"/>
        <v>2.9646462319576528</v>
      </c>
      <c r="X83">
        <v>81</v>
      </c>
      <c r="Y83" s="50">
        <f t="shared" si="13"/>
        <v>1.368659046324808</v>
      </c>
      <c r="Z83">
        <f t="shared" si="11"/>
        <v>0.6854388012060326</v>
      </c>
      <c r="AA83">
        <f t="shared" si="11"/>
        <v>0.3126798091075096</v>
      </c>
      <c r="AB83">
        <v>1</v>
      </c>
    </row>
    <row r="84" spans="13:28" ht="12.75">
      <c r="M84">
        <v>82</v>
      </c>
      <c r="N84" s="48">
        <f t="shared" si="12"/>
        <v>153.76467882100476</v>
      </c>
      <c r="O84">
        <f t="shared" si="8"/>
        <v>149.0869702451075</v>
      </c>
      <c r="P84">
        <f t="shared" si="14"/>
        <v>3.2734893821224813</v>
      </c>
      <c r="X84">
        <v>82</v>
      </c>
      <c r="Y84" s="50">
        <f t="shared" si="13"/>
        <v>1.364040318031499</v>
      </c>
      <c r="Z84">
        <f t="shared" si="11"/>
        <v>0.6770282968187473</v>
      </c>
      <c r="AA84">
        <f t="shared" si="11"/>
        <v>0.30884315016482855</v>
      </c>
      <c r="AB84">
        <v>1</v>
      </c>
    </row>
    <row r="85" spans="13:28" ht="12.75">
      <c r="M85">
        <v>83</v>
      </c>
      <c r="N85" s="48">
        <f t="shared" si="12"/>
        <v>155.12417204266015</v>
      </c>
      <c r="O85">
        <f t="shared" si="8"/>
        <v>149.75579193613652</v>
      </c>
      <c r="P85">
        <f t="shared" si="14"/>
        <v>3.5785888867171276</v>
      </c>
      <c r="X85">
        <v>83</v>
      </c>
      <c r="Y85" s="50">
        <f t="shared" si="13"/>
        <v>1.3594932216553843</v>
      </c>
      <c r="Z85">
        <f t="shared" si="11"/>
        <v>0.6688216910290237</v>
      </c>
      <c r="AA85">
        <f t="shared" si="11"/>
        <v>0.3050995045946463</v>
      </c>
      <c r="AB85">
        <v>1</v>
      </c>
    </row>
    <row r="86" spans="13:28" ht="12.75">
      <c r="M86">
        <v>84</v>
      </c>
      <c r="N86" s="48">
        <f t="shared" si="12"/>
        <v>156.47918784058294</v>
      </c>
      <c r="O86">
        <f t="shared" si="8"/>
        <v>150.4166035939184</v>
      </c>
      <c r="P86">
        <f t="shared" si="14"/>
        <v>3.8800344171535537</v>
      </c>
      <c r="X86">
        <v>84</v>
      </c>
      <c r="Y86" s="50">
        <f t="shared" si="13"/>
        <v>1.355015797922789</v>
      </c>
      <c r="Z86">
        <f t="shared" si="11"/>
        <v>0.6608116577818919</v>
      </c>
      <c r="AA86">
        <f t="shared" si="11"/>
        <v>0.3014455304364261</v>
      </c>
      <c r="AB86">
        <v>1</v>
      </c>
    </row>
    <row r="87" spans="13:28" ht="12.75">
      <c r="M87">
        <v>85</v>
      </c>
      <c r="N87" s="48">
        <f>($B$2*(M87*1000/$F$18)^$B$3)*$E$8</f>
        <v>157.82979400438663</v>
      </c>
      <c r="O87">
        <f t="shared" si="8"/>
        <v>151.0695948117572</v>
      </c>
      <c r="P87">
        <f t="shared" si="14"/>
        <v>4.177912461091944</v>
      </c>
      <c r="X87">
        <v>85</v>
      </c>
      <c r="Y87" s="50">
        <f t="shared" si="13"/>
        <v>1.3506061638036897</v>
      </c>
      <c r="Z87">
        <f t="shared" si="11"/>
        <v>0.6529912178388031</v>
      </c>
      <c r="AA87">
        <f t="shared" si="11"/>
        <v>0.29787804393839057</v>
      </c>
      <c r="AB87">
        <v>1</v>
      </c>
    </row>
    <row r="88" spans="13:28" ht="12.75">
      <c r="M88">
        <v>86</v>
      </c>
      <c r="N88" s="48">
        <f t="shared" si="12"/>
        <v>159.1760565130692</v>
      </c>
      <c r="O88">
        <f t="shared" si="8"/>
        <v>151.71494853025158</v>
      </c>
      <c r="P88">
        <f t="shared" si="14"/>
        <v>4.4723064713968785</v>
      </c>
      <c r="X88">
        <v>86</v>
      </c>
      <c r="Y88" s="50">
        <f t="shared" si="13"/>
        <v>1.346262508682571</v>
      </c>
      <c r="Z88">
        <f t="shared" si="11"/>
        <v>0.6453537184943627</v>
      </c>
      <c r="AA88">
        <f>P88-P87</f>
        <v>0.2943940103049343</v>
      </c>
      <c r="AB88">
        <v>1</v>
      </c>
    </row>
    <row r="89" spans="13:28" ht="12.75">
      <c r="M89">
        <v>87</v>
      </c>
      <c r="N89" s="48">
        <f t="shared" si="12"/>
        <v>160.51803960383512</v>
      </c>
      <c r="O89">
        <f>($B$4*LOG(M89*1000/$G$18))*$E$8</f>
        <v>152.35284134495177</v>
      </c>
      <c r="P89">
        <f t="shared" si="14"/>
        <v>4.763297006482683</v>
      </c>
      <c r="X89">
        <v>87</v>
      </c>
      <c r="Y89" s="50">
        <f t="shared" si="13"/>
        <v>1.3419830907659218</v>
      </c>
      <c r="Z89">
        <f t="shared" si="11"/>
        <v>0.6378928147001943</v>
      </c>
      <c r="AA89">
        <f t="shared" si="11"/>
        <v>0.29099053508580486</v>
      </c>
      <c r="AB89">
        <v>1</v>
      </c>
    </row>
    <row r="90" spans="13:28" ht="12.75">
      <c r="M90">
        <v>88</v>
      </c>
      <c r="N90" s="48">
        <f t="shared" si="12"/>
        <v>161.85580583754128</v>
      </c>
      <c r="O90">
        <f t="shared" si="8"/>
        <v>152.98344379643524</v>
      </c>
      <c r="P90">
        <f t="shared" si="14"/>
        <v>5.050961862638541</v>
      </c>
      <c r="X90">
        <v>88</v>
      </c>
      <c r="Y90" s="50">
        <f t="shared" si="13"/>
        <v>1.3377662337061622</v>
      </c>
      <c r="Z90">
        <f t="shared" si="11"/>
        <v>0.6306024514834689</v>
      </c>
      <c r="AA90">
        <f t="shared" si="11"/>
        <v>0.2876648561558577</v>
      </c>
      <c r="AB90">
        <v>1</v>
      </c>
    </row>
    <row r="91" spans="13:28" ht="12.75">
      <c r="M91">
        <v>89</v>
      </c>
      <c r="N91" s="48">
        <f t="shared" si="12"/>
        <v>163.18941616096882</v>
      </c>
      <c r="O91">
        <f t="shared" si="8"/>
        <v>153.60692064399245</v>
      </c>
      <c r="P91">
        <f t="shared" si="14"/>
        <v>5.335376198877083</v>
      </c>
      <c r="X91">
        <v>89</v>
      </c>
      <c r="Y91" s="50">
        <f t="shared" si="13"/>
        <v>1.3336103234275356</v>
      </c>
      <c r="Z91">
        <f t="shared" si="11"/>
        <v>0.6234768475572139</v>
      </c>
      <c r="AA91">
        <f t="shared" si="11"/>
        <v>0.28441433623854184</v>
      </c>
      <c r="AB91">
        <v>1</v>
      </c>
    </row>
    <row r="92" spans="13:28" ht="12.75">
      <c r="M92">
        <v>90</v>
      </c>
      <c r="N92" s="48">
        <f t="shared" si="12"/>
        <v>164.51892996610965</v>
      </c>
      <c r="O92">
        <f>($B$4*LOG(M92*1000/$G$18))*$E$8</f>
        <v>154.22343112402254</v>
      </c>
      <c r="P92">
        <f t="shared" si="14"/>
        <v>5.6166126548077955</v>
      </c>
      <c r="X92">
        <v>90</v>
      </c>
      <c r="Y92" s="50">
        <f t="shared" si="13"/>
        <v>1.3295138051408344</v>
      </c>
      <c r="Z92">
        <f t="shared" si="11"/>
        <v>0.6165104800300867</v>
      </c>
      <c r="AA92">
        <f t="shared" si="11"/>
        <v>0.28123645593071256</v>
      </c>
      <c r="AB92">
        <v>1</v>
      </c>
    </row>
    <row r="93" spans="13:28" ht="12.75">
      <c r="M93">
        <v>91</v>
      </c>
      <c r="N93" s="48">
        <f t="shared" si="12"/>
        <v>165.84440514664092</v>
      </c>
      <c r="O93">
        <f aca="true" t="shared" si="15" ref="O93:O101">($B$4*LOG(M93*1000/$G$18))*$E$8</f>
        <v>154.83312919415124</v>
      </c>
      <c r="P93">
        <f t="shared" si="14"/>
        <v>5.894741461997635</v>
      </c>
      <c r="X93">
        <v>91</v>
      </c>
      <c r="Y93" s="50">
        <f t="shared" si="13"/>
        <v>1.3254751805312708</v>
      </c>
      <c r="Z93">
        <f t="shared" si="11"/>
        <v>0.6096980701287009</v>
      </c>
      <c r="AA93">
        <f t="shared" si="11"/>
        <v>0.2781288071898391</v>
      </c>
      <c r="AB93">
        <v>1</v>
      </c>
    </row>
    <row r="94" spans="13:28" ht="12.75">
      <c r="M94">
        <v>92</v>
      </c>
      <c r="N94" s="48">
        <f t="shared" si="12"/>
        <v>167.16589815175124</v>
      </c>
      <c r="O94">
        <f t="shared" si="15"/>
        <v>155.4361637640091</v>
      </c>
      <c r="P94">
        <f t="shared" si="14"/>
        <v>6.169830549246008</v>
      </c>
      <c r="X94">
        <v>92</v>
      </c>
      <c r="Y94" s="50">
        <f t="shared" si="13"/>
        <v>1.3214930051103124</v>
      </c>
      <c r="Z94">
        <f t="shared" si="11"/>
        <v>0.6030345698578685</v>
      </c>
      <c r="AA94">
        <f t="shared" si="11"/>
        <v>0.27508908724837333</v>
      </c>
      <c r="AB94">
        <v>1</v>
      </c>
    </row>
    <row r="95" spans="13:28" ht="12.75">
      <c r="M95">
        <v>93</v>
      </c>
      <c r="N95" s="48">
        <f t="shared" si="12"/>
        <v>168.48346403747001</v>
      </c>
      <c r="O95">
        <f t="shared" si="15"/>
        <v>156.03267891353377</v>
      </c>
      <c r="P95">
        <f t="shared" si="14"/>
        <v>6.4419456421688714</v>
      </c>
      <c r="X95">
        <v>93</v>
      </c>
      <c r="Y95" s="50">
        <f t="shared" si="13"/>
        <v>1.3175658857187784</v>
      </c>
      <c r="Z95">
        <f t="shared" si="11"/>
        <v>0.596515149524663</v>
      </c>
      <c r="AA95">
        <f t="shared" si="11"/>
        <v>0.2721150929228635</v>
      </c>
      <c r="AB95">
        <v>1</v>
      </c>
    </row>
    <row r="96" spans="13:28" ht="12.75">
      <c r="M96">
        <v>94</v>
      </c>
      <c r="N96" s="48">
        <f t="shared" si="12"/>
        <v>169.79715651564095</v>
      </c>
      <c r="O96">
        <f t="shared" si="15"/>
        <v>156.62281409959803</v>
      </c>
      <c r="P96">
        <f t="shared" si="14"/>
        <v>6.711150357457137</v>
      </c>
      <c r="X96">
        <v>94</v>
      </c>
      <c r="Y96" s="50">
        <f t="shared" si="13"/>
        <v>1.3136924781709354</v>
      </c>
      <c r="Z96">
        <f t="shared" si="11"/>
        <v>0.5901351860642592</v>
      </c>
      <c r="AA96">
        <f t="shared" si="11"/>
        <v>0.2692047152882653</v>
      </c>
      <c r="AB96">
        <v>1</v>
      </c>
    </row>
    <row r="97" spans="13:28" ht="12.75">
      <c r="M97">
        <v>95</v>
      </c>
      <c r="N97" s="48">
        <f t="shared" si="12"/>
        <v>171.1070280006724</v>
      </c>
      <c r="O97">
        <f t="shared" si="15"/>
        <v>157.20670435170442</v>
      </c>
      <c r="P97">
        <f t="shared" si="14"/>
        <v>6.977506292147633</v>
      </c>
      <c r="X97">
        <v>95</v>
      </c>
      <c r="Y97" s="50">
        <f t="shared" si="13"/>
        <v>1.3098714850314366</v>
      </c>
      <c r="Z97">
        <f t="shared" si="11"/>
        <v>0.5838902521063858</v>
      </c>
      <c r="AA97">
        <f t="shared" si="11"/>
        <v>0.26635593469049645</v>
      </c>
      <c r="AB97">
        <v>1</v>
      </c>
    </row>
    <row r="98" spans="13:28" ht="12.75">
      <c r="M98">
        <v>96</v>
      </c>
      <c r="N98" s="48">
        <f t="shared" si="12"/>
        <v>172.41312965418666</v>
      </c>
      <c r="O98">
        <f t="shared" si="15"/>
        <v>157.78448045743346</v>
      </c>
      <c r="P98">
        <f t="shared" si="14"/>
        <v>7.241073108219872</v>
      </c>
      <c r="X98">
        <v>96</v>
      </c>
      <c r="Y98" s="50">
        <f t="shared" si="13"/>
        <v>1.3061016535142755</v>
      </c>
      <c r="Z98">
        <f t="shared" si="11"/>
        <v>0.5777761057290434</v>
      </c>
      <c r="AA98">
        <f t="shared" si="11"/>
        <v>0.2635668160722391</v>
      </c>
      <c r="AB98">
        <v>1</v>
      </c>
    </row>
    <row r="99" spans="13:28" ht="12.75">
      <c r="M99">
        <v>97</v>
      </c>
      <c r="N99" s="48">
        <f t="shared" si="12"/>
        <v>173.7155114276851</v>
      </c>
      <c r="O99">
        <f t="shared" si="15"/>
        <v>158.35626913828273</v>
      </c>
      <c r="P99">
        <f t="shared" si="14"/>
        <v>7.501908612809349</v>
      </c>
      <c r="X99">
        <v>97</v>
      </c>
      <c r="Y99" s="50">
        <f t="shared" si="13"/>
        <v>1.302381773498439</v>
      </c>
      <c r="Z99">
        <f t="shared" si="11"/>
        <v>0.5717886808492665</v>
      </c>
      <c r="AA99">
        <f t="shared" si="11"/>
        <v>0.260835504589477</v>
      </c>
      <c r="AB99">
        <v>1</v>
      </c>
    </row>
    <row r="100" spans="13:28" ht="12.75">
      <c r="M100">
        <v>98</v>
      </c>
      <c r="N100" s="48">
        <f>($B$2*(M100*1000/$F$18)^$B$3)*$E$8</f>
        <v>175.01422210333504</v>
      </c>
      <c r="O100">
        <f t="shared" si="15"/>
        <v>158.92219321648778</v>
      </c>
      <c r="P100">
        <f t="shared" si="14"/>
        <v>7.760068834307106</v>
      </c>
      <c r="X100">
        <v>98</v>
      </c>
      <c r="Y100" s="50">
        <f>N100-N99</f>
        <v>1.298710675649943</v>
      </c>
      <c r="Z100">
        <f t="shared" si="11"/>
        <v>0.5659240782050574</v>
      </c>
      <c r="AA100">
        <f t="shared" si="11"/>
        <v>0.2581602214977563</v>
      </c>
      <c r="AB100">
        <v>1</v>
      </c>
    </row>
    <row r="101" spans="13:28" ht="12.75">
      <c r="M101">
        <v>99</v>
      </c>
      <c r="N101" s="48">
        <f>($B$2*(M101*1000/$F$18)^$B$3)*$E$8</f>
        <v>176.30930933298112</v>
      </c>
      <c r="O101">
        <f t="shared" si="15"/>
        <v>159.48237177337504</v>
      </c>
      <c r="P101">
        <f t="shared" si="14"/>
        <v>8.015608094596193</v>
      </c>
      <c r="X101">
        <v>99</v>
      </c>
      <c r="Y101" s="50">
        <f>N101-N100</f>
        <v>1.2950872296460716</v>
      </c>
      <c r="Z101">
        <f t="shared" si="11"/>
        <v>0.5601785568872515</v>
      </c>
      <c r="AA101">
        <f t="shared" si="11"/>
        <v>0.2555392602890869</v>
      </c>
      <c r="AB101">
        <v>1</v>
      </c>
    </row>
  </sheetData>
  <sheetProtection/>
  <printOptions/>
  <pageMargins left="0.75" right="0.75" top="1" bottom="1" header="0.3" footer="0.3"/>
  <pageSetup orientation="portrait" paperSize="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PageLayoutView="0" workbookViewId="0" topLeftCell="A25">
      <selection activeCell="F65" sqref="F65"/>
    </sheetView>
  </sheetViews>
  <sheetFormatPr defaultColWidth="11.421875" defaultRowHeight="12.75"/>
  <cols>
    <col min="11" max="11" width="11.00390625" style="26" customWidth="1"/>
    <col min="14" max="14" width="11.00390625" style="26" customWidth="1"/>
  </cols>
  <sheetData>
    <row r="1" spans="1:18" ht="12.75">
      <c r="A1" t="s">
        <v>0</v>
      </c>
      <c r="B1" t="s">
        <v>1</v>
      </c>
      <c r="C1" t="s">
        <v>2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51</v>
      </c>
      <c r="J1" t="s">
        <v>53</v>
      </c>
      <c r="K1" s="26" t="s">
        <v>57</v>
      </c>
      <c r="L1" s="51" t="s">
        <v>58</v>
      </c>
      <c r="M1" s="51" t="s">
        <v>59</v>
      </c>
      <c r="N1" s="26" t="s">
        <v>60</v>
      </c>
      <c r="O1" s="51" t="s">
        <v>61</v>
      </c>
      <c r="P1" s="51" t="s">
        <v>62</v>
      </c>
      <c r="Q1" s="51" t="s">
        <v>63</v>
      </c>
      <c r="R1" s="51" t="s">
        <v>19</v>
      </c>
    </row>
    <row r="2" spans="1:18" ht="12.75">
      <c r="A2" s="1">
        <v>40544</v>
      </c>
      <c r="B2">
        <v>5</v>
      </c>
      <c r="C2">
        <v>150</v>
      </c>
      <c r="D2">
        <v>75</v>
      </c>
      <c r="E2">
        <v>25.7</v>
      </c>
      <c r="F2">
        <v>1.5055943710113566</v>
      </c>
      <c r="G2">
        <v>5.6000000000000005</v>
      </c>
      <c r="H2">
        <v>8.14</v>
      </c>
      <c r="I2" s="48">
        <v>2369.67</v>
      </c>
      <c r="J2" s="49">
        <v>72.332</v>
      </c>
      <c r="K2" s="26">
        <v>17.4153</v>
      </c>
      <c r="L2" s="51">
        <v>0.7262</v>
      </c>
      <c r="M2" s="26">
        <v>181.5</v>
      </c>
      <c r="N2" s="26">
        <v>82.7957</v>
      </c>
      <c r="O2" s="48">
        <f>I2-SUM(P2:R2)</f>
        <v>1698.5555910019352</v>
      </c>
      <c r="P2">
        <f>K2*D2^L2</f>
        <v>400.4980903164622</v>
      </c>
      <c r="Q2">
        <f>M2*LOG(E2)</f>
        <v>255.90286188462997</v>
      </c>
      <c r="R2">
        <f>N2*LOG(F2)</f>
        <v>14.713456796972597</v>
      </c>
    </row>
    <row r="3" spans="1:18" ht="12.75">
      <c r="A3" s="1">
        <v>40575</v>
      </c>
      <c r="B3">
        <v>5.1</v>
      </c>
      <c r="C3">
        <v>450</v>
      </c>
      <c r="D3">
        <v>125</v>
      </c>
      <c r="E3">
        <v>13.8</v>
      </c>
      <c r="F3">
        <v>1.6457461718917568</v>
      </c>
      <c r="G3">
        <v>5.1000000000000005</v>
      </c>
      <c r="H3">
        <v>7.952</v>
      </c>
      <c r="I3" s="48">
        <v>2332.16</v>
      </c>
      <c r="J3" s="49">
        <v>53.445</v>
      </c>
      <c r="K3" s="26">
        <v>17.4153</v>
      </c>
      <c r="L3" s="51">
        <v>0.7262</v>
      </c>
      <c r="M3" s="26">
        <v>181.5</v>
      </c>
      <c r="N3" s="26">
        <v>82.7957</v>
      </c>
      <c r="O3" s="48">
        <f aca="true" t="shared" si="0" ref="O3:O49">I3-SUM(P3:R3)</f>
        <v>1526.9852838189586</v>
      </c>
      <c r="P3">
        <f>K3*D3^L3</f>
        <v>580.3727480839543</v>
      </c>
      <c r="Q3">
        <f aca="true" t="shared" si="1" ref="Q3:Q49">M3*LOG(E3)</f>
        <v>206.88805418182443</v>
      </c>
      <c r="R3">
        <f aca="true" t="shared" si="2" ref="R3:R49">N3*LOG(F3)</f>
        <v>17.91391391526263</v>
      </c>
    </row>
    <row r="4" spans="1:18" ht="12.75">
      <c r="A4" s="1">
        <v>40603</v>
      </c>
      <c r="B4">
        <v>5.1</v>
      </c>
      <c r="C4">
        <v>150</v>
      </c>
      <c r="D4">
        <v>20</v>
      </c>
      <c r="E4">
        <v>15.3</v>
      </c>
      <c r="F4">
        <v>0.6168186397528711</v>
      </c>
      <c r="G4">
        <v>4.3999999999999995</v>
      </c>
      <c r="H4">
        <v>5.883</v>
      </c>
      <c r="I4" s="48">
        <v>1963.07</v>
      </c>
      <c r="J4" s="49">
        <v>-198.173</v>
      </c>
      <c r="K4" s="26">
        <v>17.4153</v>
      </c>
      <c r="L4" s="51">
        <v>0.7262</v>
      </c>
      <c r="M4" s="26">
        <v>181.5</v>
      </c>
      <c r="N4" s="26">
        <v>82.7957</v>
      </c>
      <c r="O4" s="48">
        <f t="shared" si="0"/>
        <v>1612.0530836258063</v>
      </c>
      <c r="P4">
        <f aca="true" t="shared" si="3" ref="P4:P34">K4*D4^L4</f>
        <v>153.36947924695414</v>
      </c>
      <c r="Q4">
        <f t="shared" si="1"/>
        <v>215.0214946933942</v>
      </c>
      <c r="R4">
        <f t="shared" si="2"/>
        <v>-17.374057566154523</v>
      </c>
    </row>
    <row r="5" spans="1:18" ht="12.75">
      <c r="A5" s="1">
        <v>40634</v>
      </c>
      <c r="B5">
        <v>5.2</v>
      </c>
      <c r="C5">
        <v>300</v>
      </c>
      <c r="D5">
        <v>10</v>
      </c>
      <c r="E5">
        <v>19.7</v>
      </c>
      <c r="F5">
        <v>1.1220742282100762</v>
      </c>
      <c r="G5">
        <v>5.699999999999999</v>
      </c>
      <c r="H5">
        <v>6.059</v>
      </c>
      <c r="I5" s="48">
        <v>1922.96</v>
      </c>
      <c r="J5" s="49">
        <v>-105.26</v>
      </c>
      <c r="K5" s="26">
        <v>17.4153</v>
      </c>
      <c r="L5" s="51">
        <v>0.7262</v>
      </c>
      <c r="M5" s="26">
        <v>181.5</v>
      </c>
      <c r="N5" s="26">
        <v>82.7957</v>
      </c>
      <c r="O5" s="48">
        <f t="shared" si="0"/>
        <v>1591.1618727802525</v>
      </c>
      <c r="P5">
        <f t="shared" si="3"/>
        <v>92.71093481001056</v>
      </c>
      <c r="Q5">
        <f t="shared" si="1"/>
        <v>234.94562004832912</v>
      </c>
      <c r="R5">
        <f t="shared" si="2"/>
        <v>4.141572361407869</v>
      </c>
    </row>
    <row r="6" spans="1:18" ht="12.75">
      <c r="A6" s="1">
        <v>40664</v>
      </c>
      <c r="B6">
        <v>5.4</v>
      </c>
      <c r="C6">
        <v>510</v>
      </c>
      <c r="D6">
        <v>120</v>
      </c>
      <c r="E6">
        <v>12</v>
      </c>
      <c r="F6">
        <v>0.9260286185648903</v>
      </c>
      <c r="G6">
        <v>4.1</v>
      </c>
      <c r="H6">
        <v>7.346</v>
      </c>
      <c r="I6" s="48">
        <v>2245.06</v>
      </c>
      <c r="J6" s="49">
        <v>-41.264</v>
      </c>
      <c r="K6" s="26">
        <v>17.4153</v>
      </c>
      <c r="L6" s="51">
        <v>0.7262</v>
      </c>
      <c r="M6" s="26">
        <v>181.5</v>
      </c>
      <c r="N6" s="26">
        <v>82.7957</v>
      </c>
      <c r="O6" s="48">
        <f t="shared" si="0"/>
        <v>1488.5318014043733</v>
      </c>
      <c r="P6">
        <f t="shared" si="3"/>
        <v>563.4201578911616</v>
      </c>
      <c r="Q6">
        <f t="shared" si="1"/>
        <v>195.87139615764391</v>
      </c>
      <c r="R6">
        <f t="shared" si="2"/>
        <v>-2.763355453178652</v>
      </c>
    </row>
    <row r="7" spans="1:18" ht="12.75">
      <c r="A7" s="1">
        <v>40695</v>
      </c>
      <c r="B7">
        <v>5.4</v>
      </c>
      <c r="C7">
        <v>450</v>
      </c>
      <c r="D7">
        <v>100</v>
      </c>
      <c r="E7">
        <v>11.6</v>
      </c>
      <c r="F7">
        <v>0.7426349177076764</v>
      </c>
      <c r="G7">
        <v>6</v>
      </c>
      <c r="H7">
        <v>7.367</v>
      </c>
      <c r="I7" s="48">
        <v>2157.38</v>
      </c>
      <c r="J7" s="49">
        <v>52.721</v>
      </c>
      <c r="K7" s="26">
        <v>17.4153</v>
      </c>
      <c r="L7" s="51">
        <v>0.7262</v>
      </c>
      <c r="M7" s="26">
        <v>181.5</v>
      </c>
      <c r="N7" s="26">
        <v>82.7957</v>
      </c>
      <c r="O7" s="48">
        <f t="shared" si="0"/>
        <v>1481.3303419284596</v>
      </c>
      <c r="P7">
        <f t="shared" si="3"/>
        <v>493.54977711242566</v>
      </c>
      <c r="Q7">
        <f t="shared" si="1"/>
        <v>193.19912504468567</v>
      </c>
      <c r="R7">
        <f t="shared" si="2"/>
        <v>-10.69924408557085</v>
      </c>
    </row>
    <row r="8" spans="1:18" ht="12.75">
      <c r="A8" s="1">
        <v>40725</v>
      </c>
      <c r="B8">
        <v>5.3</v>
      </c>
      <c r="C8">
        <v>150</v>
      </c>
      <c r="D8">
        <v>50</v>
      </c>
      <c r="E8">
        <v>9.4</v>
      </c>
      <c r="F8">
        <v>1.2781527455690473</v>
      </c>
      <c r="G8">
        <v>5.2</v>
      </c>
      <c r="H8">
        <v>6.777</v>
      </c>
      <c r="I8" s="48">
        <v>2085.57</v>
      </c>
      <c r="J8" s="49">
        <v>-52.468</v>
      </c>
      <c r="K8" s="26">
        <v>17.4153</v>
      </c>
      <c r="L8" s="51">
        <v>0.7262</v>
      </c>
      <c r="M8" s="26">
        <v>181.5</v>
      </c>
      <c r="N8" s="26">
        <v>82.7957</v>
      </c>
      <c r="O8" s="48">
        <f t="shared" si="0"/>
        <v>1601.7748060928095</v>
      </c>
      <c r="P8">
        <f t="shared" si="3"/>
        <v>298.34789448353706</v>
      </c>
      <c r="Q8">
        <f t="shared" si="1"/>
        <v>176.6227054283453</v>
      </c>
      <c r="R8">
        <f t="shared" si="2"/>
        <v>8.824593995308364</v>
      </c>
    </row>
    <row r="9" spans="1:18" ht="12.75">
      <c r="A9" s="1">
        <v>40756</v>
      </c>
      <c r="B9">
        <v>5</v>
      </c>
      <c r="C9">
        <v>225</v>
      </c>
      <c r="D9">
        <v>15</v>
      </c>
      <c r="E9">
        <v>18.4</v>
      </c>
      <c r="F9">
        <v>0.8209089224237444</v>
      </c>
      <c r="G9">
        <v>4.1</v>
      </c>
      <c r="H9">
        <v>6.129</v>
      </c>
      <c r="I9" s="48">
        <v>1944.61</v>
      </c>
      <c r="J9" s="49">
        <v>-105.915</v>
      </c>
      <c r="K9" s="26">
        <v>17.4153</v>
      </c>
      <c r="L9" s="51">
        <v>0.7262</v>
      </c>
      <c r="M9" s="26">
        <v>181.5</v>
      </c>
      <c r="N9" s="26">
        <v>82.7957</v>
      </c>
      <c r="O9" s="48">
        <f t="shared" si="0"/>
        <v>1597.687694975758</v>
      </c>
      <c r="P9">
        <f t="shared" si="3"/>
        <v>124.45387760198231</v>
      </c>
      <c r="Q9">
        <f t="shared" si="1"/>
        <v>229.56443487623085</v>
      </c>
      <c r="R9">
        <f t="shared" si="2"/>
        <v>-7.0960074539712945</v>
      </c>
    </row>
    <row r="10" spans="1:18" ht="12.75">
      <c r="A10" s="1">
        <v>40787</v>
      </c>
      <c r="B10">
        <v>4.8</v>
      </c>
      <c r="C10">
        <v>150</v>
      </c>
      <c r="D10">
        <v>40</v>
      </c>
      <c r="E10">
        <v>22.6</v>
      </c>
      <c r="F10">
        <v>0.9645078063747154</v>
      </c>
      <c r="G10">
        <v>5.1000000000000005</v>
      </c>
      <c r="H10">
        <v>7.153</v>
      </c>
      <c r="I10" s="48">
        <v>2156.02</v>
      </c>
      <c r="J10" s="49">
        <v>-10.12</v>
      </c>
      <c r="K10" s="26">
        <v>17.4153</v>
      </c>
      <c r="L10" s="51">
        <v>0.7262</v>
      </c>
      <c r="M10" s="26">
        <v>181.5</v>
      </c>
      <c r="N10" s="26">
        <v>82.7957</v>
      </c>
      <c r="O10" s="48">
        <f t="shared" si="0"/>
        <v>1657.8332782773343</v>
      </c>
      <c r="P10">
        <f t="shared" si="3"/>
        <v>253.71545667924894</v>
      </c>
      <c r="Q10">
        <f t="shared" si="1"/>
        <v>245.77068170525328</v>
      </c>
      <c r="R10">
        <f t="shared" si="2"/>
        <v>-1.2994166618365128</v>
      </c>
    </row>
    <row r="11" spans="1:18" ht="12.75">
      <c r="A11" s="1">
        <v>40817</v>
      </c>
      <c r="B11">
        <v>4.6</v>
      </c>
      <c r="C11">
        <v>150</v>
      </c>
      <c r="D11">
        <v>0</v>
      </c>
      <c r="E11">
        <v>18.2</v>
      </c>
      <c r="F11">
        <v>1.0404275032411445</v>
      </c>
      <c r="G11">
        <v>5</v>
      </c>
      <c r="H11">
        <v>6.355</v>
      </c>
      <c r="I11" s="48">
        <v>1861.74</v>
      </c>
      <c r="J11" s="49">
        <v>44.759</v>
      </c>
      <c r="K11" s="26">
        <v>17.4153</v>
      </c>
      <c r="L11" s="51">
        <v>0.7262</v>
      </c>
      <c r="M11" s="26">
        <v>181.5</v>
      </c>
      <c r="N11" s="26">
        <v>82.7957</v>
      </c>
      <c r="O11" s="48">
        <f t="shared" si="0"/>
        <v>1631.6119780595307</v>
      </c>
      <c r="P11">
        <f t="shared" si="3"/>
        <v>0</v>
      </c>
      <c r="Q11">
        <f t="shared" si="1"/>
        <v>228.70295691929104</v>
      </c>
      <c r="R11">
        <f t="shared" si="2"/>
        <v>1.4250650211782987</v>
      </c>
    </row>
    <row r="12" spans="1:18" ht="12.75">
      <c r="A12" s="1">
        <v>40848</v>
      </c>
      <c r="B12">
        <v>4.2</v>
      </c>
      <c r="C12">
        <v>750</v>
      </c>
      <c r="D12">
        <v>200</v>
      </c>
      <c r="E12">
        <v>13.2</v>
      </c>
      <c r="F12">
        <v>1.7917420166345182</v>
      </c>
      <c r="G12">
        <v>3.5999999999999996</v>
      </c>
      <c r="H12">
        <v>9.118</v>
      </c>
      <c r="I12" s="48">
        <v>2837.14</v>
      </c>
      <c r="J12" s="49">
        <v>-101.736</v>
      </c>
      <c r="K12" s="26">
        <v>17.4153</v>
      </c>
      <c r="L12" s="51">
        <v>0.7262</v>
      </c>
      <c r="M12" s="26">
        <v>181.5</v>
      </c>
      <c r="N12" s="26">
        <v>82.7957</v>
      </c>
      <c r="O12" s="48">
        <f t="shared" si="0"/>
        <v>1796.3181340667834</v>
      </c>
      <c r="P12">
        <f t="shared" si="3"/>
        <v>816.4675769185501</v>
      </c>
      <c r="Q12">
        <f t="shared" si="1"/>
        <v>203.38416851386174</v>
      </c>
      <c r="R12">
        <f t="shared" si="2"/>
        <v>20.970120500804768</v>
      </c>
    </row>
    <row r="13" spans="1:18" ht="12.75">
      <c r="A13" s="1">
        <v>40878</v>
      </c>
      <c r="B13">
        <v>4.1</v>
      </c>
      <c r="C13">
        <v>600</v>
      </c>
      <c r="D13">
        <v>150</v>
      </c>
      <c r="E13">
        <v>24.6</v>
      </c>
      <c r="F13">
        <v>1.3663566787235824</v>
      </c>
      <c r="G13">
        <v>5.4</v>
      </c>
      <c r="H13">
        <v>8.982</v>
      </c>
      <c r="I13" s="48">
        <v>2784.06</v>
      </c>
      <c r="J13" s="49">
        <v>-89.456</v>
      </c>
      <c r="K13" s="26">
        <v>17.4153</v>
      </c>
      <c r="L13" s="51">
        <v>0.7262</v>
      </c>
      <c r="M13" s="26">
        <v>181.5</v>
      </c>
      <c r="N13" s="26">
        <v>82.7957</v>
      </c>
      <c r="O13" s="48">
        <f t="shared" si="0"/>
        <v>1857.846755013085</v>
      </c>
      <c r="P13">
        <f t="shared" si="3"/>
        <v>662.5343998214449</v>
      </c>
      <c r="Q13">
        <f t="shared" si="1"/>
        <v>252.4547219392633</v>
      </c>
      <c r="R13">
        <f t="shared" si="2"/>
        <v>11.224123226206734</v>
      </c>
    </row>
    <row r="14" spans="1:18" ht="12.75">
      <c r="A14" s="1">
        <v>40909</v>
      </c>
      <c r="B14">
        <v>4</v>
      </c>
      <c r="C14">
        <v>150</v>
      </c>
      <c r="D14">
        <v>0</v>
      </c>
      <c r="E14">
        <v>22.3</v>
      </c>
      <c r="F14">
        <v>1.3019967182599446</v>
      </c>
      <c r="G14">
        <v>5.2</v>
      </c>
      <c r="H14">
        <v>6.441</v>
      </c>
      <c r="I14" s="48">
        <v>1891.09</v>
      </c>
      <c r="J14" s="49">
        <v>41.211</v>
      </c>
      <c r="K14" s="26">
        <v>17.4153</v>
      </c>
      <c r="L14" s="51">
        <v>0.7262</v>
      </c>
      <c r="M14" s="26">
        <v>181.5</v>
      </c>
      <c r="N14" s="26">
        <v>82.7957</v>
      </c>
      <c r="O14" s="48">
        <f t="shared" si="0"/>
        <v>1636.8834613224583</v>
      </c>
      <c r="P14">
        <f t="shared" si="3"/>
        <v>0</v>
      </c>
      <c r="Q14">
        <f t="shared" si="1"/>
        <v>244.71733264324115</v>
      </c>
      <c r="R14">
        <f t="shared" si="2"/>
        <v>9.489206034300478</v>
      </c>
    </row>
    <row r="15" spans="1:18" ht="12.75">
      <c r="A15" s="1">
        <v>40940</v>
      </c>
      <c r="B15">
        <v>4</v>
      </c>
      <c r="C15">
        <v>375</v>
      </c>
      <c r="D15">
        <v>75</v>
      </c>
      <c r="E15">
        <v>7.6</v>
      </c>
      <c r="F15">
        <v>1.6349238257798329</v>
      </c>
      <c r="G15">
        <v>4.199999999999999</v>
      </c>
      <c r="H15">
        <v>7.165</v>
      </c>
      <c r="I15" s="48">
        <v>2019.78</v>
      </c>
      <c r="J15" s="49">
        <v>129.72</v>
      </c>
      <c r="K15" s="26">
        <v>17.4153</v>
      </c>
      <c r="L15" s="51">
        <v>0.7262</v>
      </c>
      <c r="M15" s="26">
        <v>181.5</v>
      </c>
      <c r="N15" s="26">
        <v>82.7957</v>
      </c>
      <c r="O15" s="48">
        <f t="shared" si="0"/>
        <v>1441.7375658311798</v>
      </c>
      <c r="P15">
        <f t="shared" si="3"/>
        <v>400.4980903164622</v>
      </c>
      <c r="Q15">
        <f t="shared" si="1"/>
        <v>159.86766699896364</v>
      </c>
      <c r="R15">
        <f t="shared" si="2"/>
        <v>17.67667685339442</v>
      </c>
    </row>
    <row r="16" spans="1:18" ht="12.75">
      <c r="A16" s="1">
        <v>40969</v>
      </c>
      <c r="B16">
        <v>4</v>
      </c>
      <c r="C16">
        <v>450</v>
      </c>
      <c r="D16">
        <v>10</v>
      </c>
      <c r="E16">
        <v>17</v>
      </c>
      <c r="F16">
        <v>1.2134422577839197</v>
      </c>
      <c r="G16">
        <v>3.1</v>
      </c>
      <c r="H16">
        <v>6.177</v>
      </c>
      <c r="I16" s="48">
        <v>1817.76</v>
      </c>
      <c r="J16" s="49">
        <v>35.341</v>
      </c>
      <c r="K16" s="26">
        <v>17.4153</v>
      </c>
      <c r="L16" s="51">
        <v>0.7262</v>
      </c>
      <c r="M16" s="26">
        <v>181.5</v>
      </c>
      <c r="N16" s="26">
        <v>82.7957</v>
      </c>
      <c r="O16" s="48">
        <f t="shared" si="0"/>
        <v>1494.7661645155513</v>
      </c>
      <c r="P16">
        <f t="shared" si="3"/>
        <v>92.71093481001056</v>
      </c>
      <c r="Q16">
        <f t="shared" si="1"/>
        <v>223.3264792301567</v>
      </c>
      <c r="R16">
        <f t="shared" si="2"/>
        <v>6.956421444281391</v>
      </c>
    </row>
    <row r="17" spans="1:18" ht="12.75">
      <c r="A17" s="1">
        <v>41000</v>
      </c>
      <c r="B17">
        <v>3.5</v>
      </c>
      <c r="C17">
        <v>450</v>
      </c>
      <c r="D17">
        <v>100</v>
      </c>
      <c r="E17">
        <v>19.7</v>
      </c>
      <c r="F17">
        <v>1.6973672614033934</v>
      </c>
      <c r="G17">
        <v>6.800000000000001</v>
      </c>
      <c r="H17">
        <v>7.797</v>
      </c>
      <c r="I17" s="48">
        <v>2238.72</v>
      </c>
      <c r="J17" s="49">
        <v>100.379</v>
      </c>
      <c r="K17" s="26">
        <v>17.4153</v>
      </c>
      <c r="L17" s="51">
        <v>0.7262</v>
      </c>
      <c r="M17" s="26">
        <v>181.5</v>
      </c>
      <c r="N17" s="26">
        <v>82.7957</v>
      </c>
      <c r="O17" s="48">
        <f t="shared" si="0"/>
        <v>1491.200152871095</v>
      </c>
      <c r="P17">
        <f t="shared" si="3"/>
        <v>493.54977711242566</v>
      </c>
      <c r="Q17">
        <f t="shared" si="1"/>
        <v>234.94562004832912</v>
      </c>
      <c r="R17">
        <f t="shared" si="2"/>
        <v>19.02444996814999</v>
      </c>
    </row>
    <row r="18" spans="1:18" ht="12.75">
      <c r="A18" s="1">
        <v>41030</v>
      </c>
      <c r="B18">
        <v>3.7</v>
      </c>
      <c r="C18">
        <v>510</v>
      </c>
      <c r="D18">
        <v>20</v>
      </c>
      <c r="E18">
        <v>20.7</v>
      </c>
      <c r="F18">
        <v>1.3063419725235297</v>
      </c>
      <c r="G18">
        <v>4.8</v>
      </c>
      <c r="H18">
        <v>6.244</v>
      </c>
      <c r="I18" s="48">
        <v>1888.02</v>
      </c>
      <c r="J18" s="49">
        <v>-14.824</v>
      </c>
      <c r="K18" s="26">
        <v>17.4153</v>
      </c>
      <c r="L18" s="51">
        <v>0.7262</v>
      </c>
      <c r="M18" s="26">
        <v>181.5</v>
      </c>
      <c r="N18" s="26">
        <v>82.7957</v>
      </c>
      <c r="O18" s="48">
        <f t="shared" si="0"/>
        <v>1486.1928923608402</v>
      </c>
      <c r="P18">
        <f t="shared" si="3"/>
        <v>153.36947924695414</v>
      </c>
      <c r="Q18">
        <f t="shared" si="1"/>
        <v>238.8486177004306</v>
      </c>
      <c r="R18">
        <f t="shared" si="2"/>
        <v>9.609010691775069</v>
      </c>
    </row>
    <row r="19" spans="1:18" ht="12.75">
      <c r="A19" s="1">
        <v>41061</v>
      </c>
      <c r="B19">
        <v>3.5</v>
      </c>
      <c r="C19">
        <v>270</v>
      </c>
      <c r="D19">
        <v>40</v>
      </c>
      <c r="E19">
        <v>6.4</v>
      </c>
      <c r="F19">
        <v>1.2550194040239342</v>
      </c>
      <c r="G19">
        <v>4.1</v>
      </c>
      <c r="H19">
        <v>5.918</v>
      </c>
      <c r="I19" s="48">
        <v>1834.4</v>
      </c>
      <c r="J19" s="49">
        <v>-59.004</v>
      </c>
      <c r="K19" s="26">
        <v>17.4153</v>
      </c>
      <c r="L19" s="51">
        <v>0.7262</v>
      </c>
      <c r="M19" s="26">
        <v>181.5</v>
      </c>
      <c r="N19" s="26">
        <v>82.7957</v>
      </c>
      <c r="O19" s="48">
        <f t="shared" si="0"/>
        <v>1426.195045761665</v>
      </c>
      <c r="P19">
        <f t="shared" si="3"/>
        <v>253.71545667924894</v>
      </c>
      <c r="Q19">
        <f t="shared" si="1"/>
        <v>146.32166527807553</v>
      </c>
      <c r="R19">
        <f t="shared" si="2"/>
        <v>8.167832281010563</v>
      </c>
    </row>
    <row r="20" spans="1:18" ht="12.75">
      <c r="A20" s="1">
        <v>41091</v>
      </c>
      <c r="B20">
        <v>4.6</v>
      </c>
      <c r="C20">
        <v>150</v>
      </c>
      <c r="D20">
        <v>0</v>
      </c>
      <c r="E20">
        <v>20.7</v>
      </c>
      <c r="F20">
        <v>0.8046785108820931</v>
      </c>
      <c r="G20">
        <v>6.6000000000000005</v>
      </c>
      <c r="H20">
        <v>6.229</v>
      </c>
      <c r="I20" s="48">
        <v>1858.08</v>
      </c>
      <c r="J20" s="49">
        <v>10.623</v>
      </c>
      <c r="K20" s="26">
        <v>17.4153</v>
      </c>
      <c r="L20" s="51">
        <v>0.7262</v>
      </c>
      <c r="M20" s="26">
        <v>181.5</v>
      </c>
      <c r="N20" s="26">
        <v>82.7957</v>
      </c>
      <c r="O20" s="48">
        <f t="shared" si="0"/>
        <v>1627.045441461844</v>
      </c>
      <c r="P20">
        <f t="shared" si="3"/>
        <v>0</v>
      </c>
      <c r="Q20">
        <f t="shared" si="1"/>
        <v>238.8486177004306</v>
      </c>
      <c r="R20">
        <f t="shared" si="2"/>
        <v>-7.8140591622744715</v>
      </c>
    </row>
    <row r="21" spans="1:18" ht="12.75">
      <c r="A21" s="1">
        <v>41122</v>
      </c>
      <c r="B21">
        <v>4.2</v>
      </c>
      <c r="C21">
        <v>150</v>
      </c>
      <c r="D21">
        <v>10</v>
      </c>
      <c r="E21">
        <v>12.6</v>
      </c>
      <c r="F21">
        <v>0.7502116410760298</v>
      </c>
      <c r="G21">
        <v>4.3999999999999995</v>
      </c>
      <c r="H21">
        <v>6.037</v>
      </c>
      <c r="I21" s="48">
        <v>1845.35</v>
      </c>
      <c r="J21" s="49">
        <v>-34.251</v>
      </c>
      <c r="K21" s="26">
        <v>17.4153</v>
      </c>
      <c r="L21" s="51">
        <v>0.7262</v>
      </c>
      <c r="M21" s="26">
        <v>181.5</v>
      </c>
      <c r="N21" s="26">
        <v>82.7957</v>
      </c>
      <c r="O21" s="48">
        <f t="shared" si="0"/>
        <v>1563.256055997636</v>
      </c>
      <c r="P21">
        <f t="shared" si="3"/>
        <v>92.71093481001056</v>
      </c>
      <c r="Q21">
        <f t="shared" si="1"/>
        <v>199.71725393883767</v>
      </c>
      <c r="R21">
        <f t="shared" si="2"/>
        <v>-10.33424474648439</v>
      </c>
    </row>
    <row r="22" spans="1:18" ht="12.75">
      <c r="A22" s="1">
        <v>41153</v>
      </c>
      <c r="B22">
        <v>4.1</v>
      </c>
      <c r="C22">
        <v>600</v>
      </c>
      <c r="D22">
        <v>150</v>
      </c>
      <c r="E22">
        <v>12</v>
      </c>
      <c r="F22">
        <v>0.972954658984371</v>
      </c>
      <c r="G22">
        <v>4.6</v>
      </c>
      <c r="H22">
        <v>7.586</v>
      </c>
      <c r="I22" s="48">
        <v>2274.08</v>
      </c>
      <c r="J22" s="49">
        <v>1.725</v>
      </c>
      <c r="K22" s="26">
        <v>17.4153</v>
      </c>
      <c r="L22" s="51">
        <v>0.7262</v>
      </c>
      <c r="M22" s="26">
        <v>181.5</v>
      </c>
      <c r="N22" s="26">
        <v>82.7957</v>
      </c>
      <c r="O22" s="48">
        <f t="shared" si="0"/>
        <v>1416.6600853715086</v>
      </c>
      <c r="P22">
        <f t="shared" si="3"/>
        <v>662.5343998214449</v>
      </c>
      <c r="Q22">
        <f t="shared" si="1"/>
        <v>195.87139615764391</v>
      </c>
      <c r="R22">
        <f t="shared" si="2"/>
        <v>-0.9858813505974201</v>
      </c>
    </row>
    <row r="23" spans="1:18" ht="12.75">
      <c r="A23" s="1">
        <v>41183</v>
      </c>
      <c r="B23">
        <v>4</v>
      </c>
      <c r="C23">
        <v>150</v>
      </c>
      <c r="D23">
        <v>0</v>
      </c>
      <c r="E23">
        <v>24.1</v>
      </c>
      <c r="F23">
        <v>0.494539573022796</v>
      </c>
      <c r="G23">
        <v>4</v>
      </c>
      <c r="H23">
        <v>6.346</v>
      </c>
      <c r="I23" s="48">
        <v>1829.33</v>
      </c>
      <c r="J23" s="49">
        <v>74.465</v>
      </c>
      <c r="K23" s="26">
        <v>17.4153</v>
      </c>
      <c r="L23" s="51">
        <v>0.7262</v>
      </c>
      <c r="M23" s="26">
        <v>181.5</v>
      </c>
      <c r="N23" s="26">
        <v>82.7957</v>
      </c>
      <c r="O23" s="48">
        <f t="shared" si="0"/>
        <v>1603.812744935392</v>
      </c>
      <c r="P23">
        <f t="shared" si="3"/>
        <v>0</v>
      </c>
      <c r="Q23">
        <f t="shared" si="1"/>
        <v>250.8360932273386</v>
      </c>
      <c r="R23">
        <f t="shared" si="2"/>
        <v>-25.31883816273068</v>
      </c>
    </row>
    <row r="24" spans="1:18" ht="12.75">
      <c r="A24" s="1">
        <v>41214</v>
      </c>
      <c r="B24">
        <v>4</v>
      </c>
      <c r="C24">
        <v>600</v>
      </c>
      <c r="D24">
        <v>150</v>
      </c>
      <c r="E24">
        <v>24.5</v>
      </c>
      <c r="F24">
        <v>1.645918277024607</v>
      </c>
      <c r="G24">
        <v>6</v>
      </c>
      <c r="H24">
        <v>9.35</v>
      </c>
      <c r="I24" s="48">
        <v>2795.26</v>
      </c>
      <c r="J24" s="49">
        <v>9.736</v>
      </c>
      <c r="K24" s="26">
        <v>17.4153</v>
      </c>
      <c r="L24" s="51">
        <v>0.7262</v>
      </c>
      <c r="M24" s="26">
        <v>181.5</v>
      </c>
      <c r="N24" s="26">
        <v>82.7957</v>
      </c>
      <c r="O24" s="48">
        <f t="shared" si="0"/>
        <v>1862.6742818428152</v>
      </c>
      <c r="P24">
        <f t="shared" si="3"/>
        <v>662.5343998214449</v>
      </c>
      <c r="Q24">
        <f t="shared" si="1"/>
        <v>252.13364431216263</v>
      </c>
      <c r="R24">
        <f t="shared" si="2"/>
        <v>17.91767402357749</v>
      </c>
    </row>
    <row r="25" spans="1:18" ht="12.75">
      <c r="A25" s="1">
        <v>41244</v>
      </c>
      <c r="B25">
        <v>4</v>
      </c>
      <c r="C25">
        <v>750</v>
      </c>
      <c r="D25">
        <v>20</v>
      </c>
      <c r="E25">
        <v>10.1</v>
      </c>
      <c r="F25">
        <v>1.217580147092109</v>
      </c>
      <c r="G25">
        <v>3.6999999999999997</v>
      </c>
      <c r="H25">
        <v>6.748</v>
      </c>
      <c r="I25" s="48">
        <v>2081.69</v>
      </c>
      <c r="J25" s="49">
        <v>-57.294</v>
      </c>
      <c r="K25" s="26">
        <v>17.4153</v>
      </c>
      <c r="L25" s="51">
        <v>0.7262</v>
      </c>
      <c r="M25" s="26">
        <v>181.5</v>
      </c>
      <c r="N25" s="26">
        <v>82.7957</v>
      </c>
      <c r="O25" s="48">
        <f t="shared" si="0"/>
        <v>1738.9573612304898</v>
      </c>
      <c r="P25">
        <f t="shared" si="3"/>
        <v>153.36947924695414</v>
      </c>
      <c r="Q25">
        <f t="shared" si="1"/>
        <v>182.28432934154964</v>
      </c>
      <c r="R25">
        <f t="shared" si="2"/>
        <v>7.078830181006395</v>
      </c>
    </row>
    <row r="26" spans="1:18" ht="12.75">
      <c r="A26" s="1">
        <v>41275</v>
      </c>
      <c r="B26">
        <v>3.5</v>
      </c>
      <c r="C26">
        <v>240</v>
      </c>
      <c r="D26">
        <v>30</v>
      </c>
      <c r="E26">
        <v>22.5</v>
      </c>
      <c r="F26">
        <v>1.823837736433092</v>
      </c>
      <c r="G26">
        <v>5.699999999999999</v>
      </c>
      <c r="H26">
        <v>6.687</v>
      </c>
      <c r="I26" s="48">
        <v>2052.55</v>
      </c>
      <c r="J26" s="49">
        <v>-46.445</v>
      </c>
      <c r="K26" s="26">
        <v>17.4153</v>
      </c>
      <c r="L26" s="51">
        <v>0.7262</v>
      </c>
      <c r="M26" s="26">
        <v>181.5</v>
      </c>
      <c r="N26" s="26">
        <v>82.7957</v>
      </c>
      <c r="O26" s="48">
        <f t="shared" si="0"/>
        <v>1579.6392687273146</v>
      </c>
      <c r="P26">
        <f t="shared" si="3"/>
        <v>205.88106933875093</v>
      </c>
      <c r="Q26">
        <f t="shared" si="1"/>
        <v>245.4211270372123</v>
      </c>
      <c r="R26">
        <f t="shared" si="2"/>
        <v>21.608534896722215</v>
      </c>
    </row>
    <row r="27" spans="1:18" ht="12.75">
      <c r="A27" s="1">
        <v>41306</v>
      </c>
      <c r="B27">
        <v>5</v>
      </c>
      <c r="C27">
        <v>150</v>
      </c>
      <c r="D27">
        <v>0</v>
      </c>
      <c r="E27">
        <v>20.8</v>
      </c>
      <c r="F27">
        <v>0.7019934125260214</v>
      </c>
      <c r="G27">
        <v>4.9</v>
      </c>
      <c r="H27">
        <v>6.601</v>
      </c>
      <c r="I27" s="48">
        <v>1870.66</v>
      </c>
      <c r="J27" s="49">
        <v>109.637</v>
      </c>
      <c r="K27" s="26">
        <v>17.4153</v>
      </c>
      <c r="L27" s="51">
        <v>0.7262</v>
      </c>
      <c r="M27" s="26">
        <v>181.5</v>
      </c>
      <c r="N27" s="26">
        <v>82.7957</v>
      </c>
      <c r="O27" s="48">
        <f t="shared" si="0"/>
        <v>1644.1544684934638</v>
      </c>
      <c r="P27">
        <f t="shared" si="3"/>
        <v>0</v>
      </c>
      <c r="Q27">
        <f t="shared" si="1"/>
        <v>239.22849529574123</v>
      </c>
      <c r="R27">
        <f t="shared" si="2"/>
        <v>-12.722963789205027</v>
      </c>
    </row>
    <row r="28" spans="1:18" ht="12.75">
      <c r="A28" s="1">
        <v>41334</v>
      </c>
      <c r="B28">
        <v>5.4</v>
      </c>
      <c r="C28">
        <v>300</v>
      </c>
      <c r="D28">
        <v>50</v>
      </c>
      <c r="E28">
        <v>19</v>
      </c>
      <c r="F28">
        <v>1.8514891589297338</v>
      </c>
      <c r="G28">
        <v>5.3</v>
      </c>
      <c r="H28">
        <v>7.375</v>
      </c>
      <c r="I28" s="48">
        <v>2173.38</v>
      </c>
      <c r="J28" s="49">
        <v>39.115</v>
      </c>
      <c r="K28" s="26">
        <v>17.4153</v>
      </c>
      <c r="L28" s="51">
        <v>0.7262</v>
      </c>
      <c r="M28" s="26">
        <v>181.5</v>
      </c>
      <c r="N28" s="26">
        <v>82.7957</v>
      </c>
      <c r="O28" s="48">
        <f t="shared" si="0"/>
        <v>1620.7887241222743</v>
      </c>
      <c r="P28">
        <f t="shared" si="3"/>
        <v>298.34789448353706</v>
      </c>
      <c r="Q28">
        <f t="shared" si="1"/>
        <v>232.09377857293845</v>
      </c>
      <c r="R28">
        <f t="shared" si="2"/>
        <v>22.149602821250422</v>
      </c>
    </row>
    <row r="29" spans="1:18" ht="12.75">
      <c r="A29" s="1">
        <v>41365</v>
      </c>
      <c r="B29">
        <v>6.1</v>
      </c>
      <c r="C29">
        <v>300</v>
      </c>
      <c r="D29">
        <v>50</v>
      </c>
      <c r="E29">
        <v>5.2</v>
      </c>
      <c r="F29">
        <v>1.1813530047291756</v>
      </c>
      <c r="G29">
        <v>6.5</v>
      </c>
      <c r="H29">
        <v>6.42</v>
      </c>
      <c r="I29" s="48">
        <v>1926.34</v>
      </c>
      <c r="J29" s="49">
        <v>-0.345</v>
      </c>
      <c r="K29" s="26">
        <v>17.4153</v>
      </c>
      <c r="L29" s="51">
        <v>0.7262</v>
      </c>
      <c r="M29" s="26">
        <v>181.5</v>
      </c>
      <c r="N29" s="26">
        <v>82.7957</v>
      </c>
      <c r="O29" s="48">
        <f t="shared" si="0"/>
        <v>1492.0447715270857</v>
      </c>
      <c r="P29">
        <f t="shared" si="3"/>
        <v>298.34789448353706</v>
      </c>
      <c r="Q29">
        <f t="shared" si="1"/>
        <v>129.95460686971606</v>
      </c>
      <c r="R29">
        <f t="shared" si="2"/>
        <v>5.9927271196612235</v>
      </c>
    </row>
    <row r="30" spans="1:18" ht="12.75">
      <c r="A30" s="1">
        <v>41395</v>
      </c>
      <c r="B30">
        <v>6.8</v>
      </c>
      <c r="C30">
        <v>150</v>
      </c>
      <c r="D30">
        <v>0</v>
      </c>
      <c r="E30">
        <v>18.1</v>
      </c>
      <c r="F30">
        <v>1.235798507476893</v>
      </c>
      <c r="G30">
        <v>4.8</v>
      </c>
      <c r="H30">
        <v>6.73</v>
      </c>
      <c r="I30" s="48">
        <v>1968.72</v>
      </c>
      <c r="J30" s="49">
        <v>50.283</v>
      </c>
      <c r="K30" s="26">
        <v>17.4153</v>
      </c>
      <c r="L30" s="51">
        <v>0.7262</v>
      </c>
      <c r="M30" s="26">
        <v>181.5</v>
      </c>
      <c r="N30" s="26">
        <v>82.7957</v>
      </c>
      <c r="O30" s="48">
        <f t="shared" si="0"/>
        <v>1732.838467261259</v>
      </c>
      <c r="P30">
        <f t="shared" si="3"/>
        <v>0</v>
      </c>
      <c r="Q30">
        <f t="shared" si="1"/>
        <v>228.268661338757</v>
      </c>
      <c r="R30">
        <f t="shared" si="2"/>
        <v>7.6128713999839945</v>
      </c>
    </row>
    <row r="31" spans="1:18" ht="12.75">
      <c r="A31" s="1">
        <v>41426</v>
      </c>
      <c r="B31">
        <v>7</v>
      </c>
      <c r="C31">
        <v>150</v>
      </c>
      <c r="D31">
        <v>85</v>
      </c>
      <c r="E31">
        <v>18.4</v>
      </c>
      <c r="F31">
        <v>0.6783087878264633</v>
      </c>
      <c r="G31">
        <v>4.5</v>
      </c>
      <c r="H31">
        <v>8.011</v>
      </c>
      <c r="I31" s="48">
        <v>2369.64</v>
      </c>
      <c r="J31" s="49">
        <v>33.664</v>
      </c>
      <c r="K31" s="26">
        <v>17.4153</v>
      </c>
      <c r="L31" s="51">
        <v>0.7262</v>
      </c>
      <c r="M31" s="26">
        <v>181.5</v>
      </c>
      <c r="N31" s="26">
        <v>82.7957</v>
      </c>
      <c r="O31" s="48">
        <f t="shared" si="0"/>
        <v>1715.426228237638</v>
      </c>
      <c r="P31">
        <f t="shared" si="3"/>
        <v>438.6064196939188</v>
      </c>
      <c r="Q31">
        <f>M31*LOG(E31)</f>
        <v>229.56443487623085</v>
      </c>
      <c r="R31">
        <f t="shared" si="2"/>
        <v>-13.957082807787959</v>
      </c>
    </row>
    <row r="32" spans="1:18" ht="12.75">
      <c r="A32" s="1">
        <v>41456</v>
      </c>
      <c r="B32">
        <v>7.4</v>
      </c>
      <c r="C32">
        <v>150</v>
      </c>
      <c r="D32">
        <v>25</v>
      </c>
      <c r="E32">
        <v>22.3</v>
      </c>
      <c r="F32">
        <v>1.5708136661778913</v>
      </c>
      <c r="G32">
        <v>5.6000000000000005</v>
      </c>
      <c r="H32">
        <v>7.348</v>
      </c>
      <c r="I32" s="48">
        <v>2228.74</v>
      </c>
      <c r="J32" s="49">
        <v>-24.337</v>
      </c>
      <c r="K32" s="26">
        <v>17.4153</v>
      </c>
      <c r="L32" s="51">
        <v>0.7262</v>
      </c>
      <c r="M32" s="26">
        <v>181.5</v>
      </c>
      <c r="N32" s="26">
        <v>82.7957</v>
      </c>
      <c r="O32" s="48">
        <f t="shared" si="0"/>
        <v>1787.4348664253862</v>
      </c>
      <c r="P32">
        <f t="shared" si="3"/>
        <v>180.34952150831157</v>
      </c>
      <c r="Q32">
        <f t="shared" si="1"/>
        <v>244.71733264324115</v>
      </c>
      <c r="R32">
        <f t="shared" si="2"/>
        <v>16.23827942306074</v>
      </c>
    </row>
    <row r="33" spans="1:18" ht="12.75">
      <c r="A33" s="1">
        <v>41487</v>
      </c>
      <c r="B33">
        <v>7.3</v>
      </c>
      <c r="C33">
        <v>375</v>
      </c>
      <c r="D33">
        <v>75</v>
      </c>
      <c r="E33">
        <v>6.8</v>
      </c>
      <c r="F33">
        <v>0.9022618843316328</v>
      </c>
      <c r="G33">
        <v>3.8</v>
      </c>
      <c r="H33">
        <v>7.389</v>
      </c>
      <c r="I33" s="48">
        <v>2091.33</v>
      </c>
      <c r="J33" s="49">
        <v>125.368</v>
      </c>
      <c r="K33" s="26">
        <v>17.4153</v>
      </c>
      <c r="L33" s="51">
        <v>0.7262</v>
      </c>
      <c r="M33" s="26">
        <v>181.5</v>
      </c>
      <c r="N33" s="26">
        <v>82.7957</v>
      </c>
      <c r="O33" s="48">
        <f t="shared" si="0"/>
        <v>1543.4298097527023</v>
      </c>
      <c r="P33">
        <f t="shared" si="3"/>
        <v>400.4980903164622</v>
      </c>
      <c r="Q33">
        <f t="shared" si="1"/>
        <v>151.10036765618187</v>
      </c>
      <c r="R33">
        <f t="shared" si="2"/>
        <v>-3.698267725346406</v>
      </c>
    </row>
    <row r="34" spans="1:18" ht="12.75">
      <c r="A34" s="1">
        <v>41518</v>
      </c>
      <c r="B34">
        <v>7.5</v>
      </c>
      <c r="C34">
        <v>150</v>
      </c>
      <c r="D34">
        <v>0</v>
      </c>
      <c r="E34">
        <v>26.2</v>
      </c>
      <c r="F34">
        <v>1.6673114047582234</v>
      </c>
      <c r="G34">
        <v>5</v>
      </c>
      <c r="H34">
        <v>6.942</v>
      </c>
      <c r="I34" s="48">
        <v>2089.5</v>
      </c>
      <c r="J34" s="49">
        <v>-6.9</v>
      </c>
      <c r="K34" s="26">
        <v>17.4153</v>
      </c>
      <c r="L34" s="51">
        <v>0.7262</v>
      </c>
      <c r="M34" s="26">
        <v>181.5</v>
      </c>
      <c r="N34" s="26">
        <v>82.7957</v>
      </c>
      <c r="O34" s="48">
        <f t="shared" si="0"/>
        <v>1813.6962858112774</v>
      </c>
      <c r="P34">
        <f t="shared" si="3"/>
        <v>0</v>
      </c>
      <c r="Q34">
        <f t="shared" si="1"/>
        <v>257.4216843745338</v>
      </c>
      <c r="R34">
        <f t="shared" si="2"/>
        <v>18.382029814188662</v>
      </c>
    </row>
    <row r="35" spans="1:18" ht="12.75">
      <c r="A35" s="1">
        <v>41548</v>
      </c>
      <c r="B35">
        <v>7.2</v>
      </c>
      <c r="C35">
        <v>525</v>
      </c>
      <c r="D35">
        <v>125</v>
      </c>
      <c r="E35">
        <v>25.5</v>
      </c>
      <c r="F35">
        <v>1.4888468657295162</v>
      </c>
      <c r="G35">
        <v>3.9</v>
      </c>
      <c r="H35">
        <v>8.786</v>
      </c>
      <c r="I35" s="48">
        <v>2511.81</v>
      </c>
      <c r="J35" s="49">
        <v>123.987</v>
      </c>
      <c r="K35" s="26">
        <v>17.4153</v>
      </c>
      <c r="L35" s="51">
        <v>0.7262</v>
      </c>
      <c r="M35" s="26">
        <v>181.5</v>
      </c>
      <c r="N35" s="26">
        <v>82.7957</v>
      </c>
      <c r="O35" s="48">
        <f t="shared" si="0"/>
        <v>1661.8389698553233</v>
      </c>
      <c r="P35">
        <f>K35*D35^L35</f>
        <v>580.3727480839543</v>
      </c>
      <c r="Q35">
        <f t="shared" si="1"/>
        <v>255.28704274876287</v>
      </c>
      <c r="R35">
        <f t="shared" si="2"/>
        <v>14.311239311959474</v>
      </c>
    </row>
    <row r="36" spans="1:18" ht="12.75">
      <c r="A36" s="1">
        <v>41579</v>
      </c>
      <c r="B36">
        <v>8</v>
      </c>
      <c r="C36">
        <v>450</v>
      </c>
      <c r="D36">
        <v>100</v>
      </c>
      <c r="E36">
        <v>8.8</v>
      </c>
      <c r="F36">
        <v>1.0692037211031555</v>
      </c>
      <c r="G36">
        <v>3.5999999999999996</v>
      </c>
      <c r="H36">
        <v>9.05</v>
      </c>
      <c r="I36" s="48">
        <v>2613.37</v>
      </c>
      <c r="J36" s="49">
        <v>101.632</v>
      </c>
      <c r="K36" s="26">
        <v>17.4153</v>
      </c>
      <c r="L36" s="51">
        <v>0.7262</v>
      </c>
      <c r="M36" s="26">
        <v>181.5</v>
      </c>
      <c r="N36" s="26">
        <v>82.7957</v>
      </c>
      <c r="O36" s="48">
        <f t="shared" si="0"/>
        <v>1945.9905366365176</v>
      </c>
      <c r="P36">
        <f>K36*D36^L36</f>
        <v>493.54977711242566</v>
      </c>
      <c r="Q36">
        <f t="shared" si="1"/>
        <v>171.4236049952556</v>
      </c>
      <c r="R36">
        <f t="shared" si="2"/>
        <v>2.406081255801032</v>
      </c>
    </row>
    <row r="37" spans="1:18" ht="12.75">
      <c r="A37" s="1">
        <v>41609</v>
      </c>
      <c r="B37">
        <v>8.4</v>
      </c>
      <c r="C37">
        <v>450</v>
      </c>
      <c r="D37">
        <v>100</v>
      </c>
      <c r="E37">
        <v>25.9</v>
      </c>
      <c r="F37">
        <v>0.9318687049046631</v>
      </c>
      <c r="G37">
        <v>6.6000000000000005</v>
      </c>
      <c r="H37">
        <v>9.899</v>
      </c>
      <c r="I37" s="48">
        <v>2801.09</v>
      </c>
      <c r="J37" s="49">
        <v>168.614</v>
      </c>
      <c r="K37" s="26">
        <v>17.4153</v>
      </c>
      <c r="L37" s="51">
        <v>0.7262</v>
      </c>
      <c r="M37" s="26">
        <v>181.5</v>
      </c>
      <c r="N37" s="26">
        <v>82.7957</v>
      </c>
      <c r="O37" s="48">
        <f t="shared" si="0"/>
        <v>2053.563612536754</v>
      </c>
      <c r="P37">
        <f aca="true" t="shared" si="4" ref="P37:P49">K37*D37^L37</f>
        <v>493.54977711242566</v>
      </c>
      <c r="Q37">
        <f t="shared" si="1"/>
        <v>256.5139071807472</v>
      </c>
      <c r="R37">
        <f t="shared" si="2"/>
        <v>-2.5372968299266976</v>
      </c>
    </row>
    <row r="38" spans="1:18" ht="12.75">
      <c r="A38" s="1">
        <v>41640</v>
      </c>
      <c r="B38">
        <v>8.3</v>
      </c>
      <c r="C38">
        <v>300</v>
      </c>
      <c r="D38">
        <v>50</v>
      </c>
      <c r="E38">
        <v>13.6</v>
      </c>
      <c r="F38">
        <v>1.1421741382961446</v>
      </c>
      <c r="G38">
        <v>3.4000000000000004</v>
      </c>
      <c r="H38">
        <v>7.416</v>
      </c>
      <c r="I38" s="48">
        <v>2202.14</v>
      </c>
      <c r="J38" s="49">
        <v>22.656</v>
      </c>
      <c r="K38" s="26">
        <v>17.4153</v>
      </c>
      <c r="L38" s="51">
        <v>0.7262</v>
      </c>
      <c r="M38" s="26">
        <v>181.5</v>
      </c>
      <c r="N38" s="26">
        <v>82.7957</v>
      </c>
      <c r="O38" s="48">
        <f>I38-SUM(P38:R38)</f>
        <v>1693.2748056000928</v>
      </c>
      <c r="P38">
        <f t="shared" si="4"/>
        <v>298.34789448353706</v>
      </c>
      <c r="Q38">
        <f t="shared" si="1"/>
        <v>205.73731186919446</v>
      </c>
      <c r="R38">
        <f>N38*LOG(F38)</f>
        <v>4.779988047175434</v>
      </c>
    </row>
    <row r="39" spans="1:18" ht="12.75">
      <c r="A39" s="1">
        <v>41671</v>
      </c>
      <c r="B39">
        <v>8.5</v>
      </c>
      <c r="C39">
        <v>150</v>
      </c>
      <c r="D39">
        <v>30</v>
      </c>
      <c r="E39">
        <v>21.4</v>
      </c>
      <c r="F39">
        <v>0.646969463475343</v>
      </c>
      <c r="G39">
        <v>5.8</v>
      </c>
      <c r="H39">
        <v>7.168</v>
      </c>
      <c r="I39" s="48">
        <v>2219.14</v>
      </c>
      <c r="J39" s="49">
        <v>-68.736</v>
      </c>
      <c r="K39" s="26">
        <v>17.4153</v>
      </c>
      <c r="L39" s="51">
        <v>0.7262</v>
      </c>
      <c r="M39" s="26">
        <v>181.5</v>
      </c>
      <c r="N39" s="26">
        <v>82.7957</v>
      </c>
      <c r="O39" s="48">
        <f t="shared" si="0"/>
        <v>1787.4468403874134</v>
      </c>
      <c r="P39">
        <f t="shared" si="4"/>
        <v>205.88106933875093</v>
      </c>
      <c r="Q39">
        <f t="shared" si="1"/>
        <v>241.47009986287813</v>
      </c>
      <c r="R39">
        <f t="shared" si="2"/>
        <v>-15.65800958904264</v>
      </c>
    </row>
    <row r="40" spans="1:18" ht="12.75">
      <c r="A40" s="1">
        <v>41699</v>
      </c>
      <c r="B40">
        <v>8.8</v>
      </c>
      <c r="C40">
        <v>150</v>
      </c>
      <c r="D40">
        <v>10</v>
      </c>
      <c r="E40">
        <v>15.9</v>
      </c>
      <c r="F40">
        <v>1.5812223746238474</v>
      </c>
      <c r="G40">
        <v>6.6000000000000005</v>
      </c>
      <c r="H40">
        <v>6.928</v>
      </c>
      <c r="I40" s="48">
        <v>2135.87</v>
      </c>
      <c r="J40" s="49">
        <v>-57.471</v>
      </c>
      <c r="K40" s="26">
        <v>17.4153</v>
      </c>
      <c r="L40" s="51">
        <v>0.7262</v>
      </c>
      <c r="M40" s="26">
        <v>181.5</v>
      </c>
      <c r="N40" s="26">
        <v>82.7957</v>
      </c>
      <c r="O40" s="48">
        <f t="shared" si="0"/>
        <v>1808.6297264468208</v>
      </c>
      <c r="P40">
        <f t="shared" si="4"/>
        <v>92.71093481001056</v>
      </c>
      <c r="Q40">
        <f t="shared" si="1"/>
        <v>218.05357806416197</v>
      </c>
      <c r="R40">
        <f t="shared" si="2"/>
        <v>16.47576067900675</v>
      </c>
    </row>
    <row r="41" spans="1:18" ht="12.75">
      <c r="A41" s="1">
        <v>41730</v>
      </c>
      <c r="B41">
        <v>8.5</v>
      </c>
      <c r="C41">
        <v>675</v>
      </c>
      <c r="D41">
        <v>175</v>
      </c>
      <c r="E41">
        <v>9.2</v>
      </c>
      <c r="F41">
        <v>0.9130130176310621</v>
      </c>
      <c r="G41">
        <v>6.800000000000001</v>
      </c>
      <c r="H41">
        <v>7.968</v>
      </c>
      <c r="I41" s="48">
        <v>2464.56</v>
      </c>
      <c r="J41" s="49">
        <v>-74.16</v>
      </c>
      <c r="K41" s="26">
        <v>17.4153</v>
      </c>
      <c r="L41" s="51">
        <v>0.7262</v>
      </c>
      <c r="M41" s="26">
        <v>181.5</v>
      </c>
      <c r="N41" s="26">
        <v>82.7957</v>
      </c>
      <c r="O41" s="48">
        <f t="shared" si="0"/>
        <v>1551.892931539287</v>
      </c>
      <c r="P41">
        <f t="shared" si="4"/>
        <v>741.0119147575086</v>
      </c>
      <c r="Q41">
        <f t="shared" si="1"/>
        <v>174.92749066321826</v>
      </c>
      <c r="R41">
        <f t="shared" si="2"/>
        <v>-3.2723369600138317</v>
      </c>
    </row>
    <row r="42" spans="1:18" ht="12.75">
      <c r="A42" s="1">
        <v>41760</v>
      </c>
      <c r="B42">
        <v>8.2</v>
      </c>
      <c r="C42">
        <v>150</v>
      </c>
      <c r="D42">
        <v>10</v>
      </c>
      <c r="E42">
        <v>24.2</v>
      </c>
      <c r="F42">
        <v>1.577213106715405</v>
      </c>
      <c r="G42">
        <v>4.1</v>
      </c>
      <c r="H42">
        <v>7.296</v>
      </c>
      <c r="I42" s="48">
        <v>2195.49</v>
      </c>
      <c r="J42" s="49">
        <v>-6.686</v>
      </c>
      <c r="K42" s="26">
        <v>17.4153</v>
      </c>
      <c r="L42" s="51">
        <v>0.7262</v>
      </c>
      <c r="M42" s="26">
        <v>181.5</v>
      </c>
      <c r="N42" s="26">
        <v>82.7957</v>
      </c>
      <c r="O42" s="48">
        <f t="shared" si="0"/>
        <v>1835.23210394247</v>
      </c>
      <c r="P42">
        <f t="shared" si="4"/>
        <v>92.71093481001056</v>
      </c>
      <c r="Q42">
        <f t="shared" si="1"/>
        <v>251.1624889254483</v>
      </c>
      <c r="R42">
        <f t="shared" si="2"/>
        <v>16.38447232207074</v>
      </c>
    </row>
    <row r="43" spans="1:18" ht="12.75">
      <c r="A43" s="1">
        <v>41791</v>
      </c>
      <c r="B43">
        <v>8</v>
      </c>
      <c r="C43">
        <v>690</v>
      </c>
      <c r="D43">
        <v>180</v>
      </c>
      <c r="E43">
        <v>22.7</v>
      </c>
      <c r="F43">
        <v>1.4388433279134873</v>
      </c>
      <c r="G43">
        <v>3.5999999999999996</v>
      </c>
      <c r="H43">
        <v>8.784</v>
      </c>
      <c r="I43" s="48">
        <v>2669.41</v>
      </c>
      <c r="J43" s="49">
        <v>-34.208</v>
      </c>
      <c r="K43" s="26">
        <v>17.4153</v>
      </c>
      <c r="L43" s="51">
        <v>0.7262</v>
      </c>
      <c r="M43" s="26">
        <v>181.5</v>
      </c>
      <c r="N43" s="26">
        <v>82.7957</v>
      </c>
      <c r="O43" s="48">
        <f t="shared" si="0"/>
        <v>1653.8810346226765</v>
      </c>
      <c r="P43">
        <f t="shared" si="4"/>
        <v>756.3274333536859</v>
      </c>
      <c r="Q43">
        <f t="shared" si="1"/>
        <v>246.11869308055176</v>
      </c>
      <c r="R43">
        <f t="shared" si="2"/>
        <v>13.082838943085665</v>
      </c>
    </row>
    <row r="44" spans="1:18" ht="12.75">
      <c r="A44" s="1">
        <v>41821</v>
      </c>
      <c r="B44">
        <v>8.1</v>
      </c>
      <c r="C44">
        <v>150</v>
      </c>
      <c r="D44">
        <v>50</v>
      </c>
      <c r="E44">
        <v>13</v>
      </c>
      <c r="F44">
        <v>0.8251304432638866</v>
      </c>
      <c r="G44">
        <v>6</v>
      </c>
      <c r="H44">
        <v>7.193</v>
      </c>
      <c r="I44" s="48">
        <v>2223.67</v>
      </c>
      <c r="J44" s="49">
        <v>-65.773</v>
      </c>
      <c r="K44" s="26">
        <v>17.4153</v>
      </c>
      <c r="L44" s="51">
        <v>0.7262</v>
      </c>
      <c r="M44" s="26">
        <v>181.5</v>
      </c>
      <c r="N44" s="26">
        <v>82.7957</v>
      </c>
      <c r="O44" s="48">
        <f t="shared" si="0"/>
        <v>1730.0529559502493</v>
      </c>
      <c r="P44">
        <f t="shared" si="4"/>
        <v>298.34789448353706</v>
      </c>
      <c r="Q44">
        <f>M44*LOG(E44)</f>
        <v>202.18071844369086</v>
      </c>
      <c r="R44">
        <f t="shared" si="2"/>
        <v>-6.911568877477164</v>
      </c>
    </row>
    <row r="45" spans="1:18" ht="12.75">
      <c r="A45" s="1">
        <v>41852</v>
      </c>
      <c r="B45">
        <v>7.9</v>
      </c>
      <c r="C45">
        <v>450</v>
      </c>
      <c r="D45">
        <v>25</v>
      </c>
      <c r="E45">
        <v>21.8</v>
      </c>
      <c r="F45">
        <v>1.6158751500063615</v>
      </c>
      <c r="G45">
        <v>4.8</v>
      </c>
      <c r="H45">
        <v>6.904</v>
      </c>
      <c r="I45" s="48">
        <v>2133.01</v>
      </c>
      <c r="J45" s="49">
        <v>-61.809</v>
      </c>
      <c r="K45" s="26">
        <v>17.4153</v>
      </c>
      <c r="L45" s="51">
        <v>0.7262</v>
      </c>
      <c r="M45" s="26">
        <v>181.5</v>
      </c>
      <c r="N45" s="26">
        <v>82.7957</v>
      </c>
      <c r="O45" s="48">
        <f t="shared" si="0"/>
        <v>1692.475355039398</v>
      </c>
      <c r="P45">
        <f t="shared" si="4"/>
        <v>180.34952150831157</v>
      </c>
      <c r="Q45">
        <f t="shared" si="1"/>
        <v>242.9298535892358</v>
      </c>
      <c r="R45">
        <f t="shared" si="2"/>
        <v>17.25526986305501</v>
      </c>
    </row>
    <row r="46" spans="1:18" ht="12.75">
      <c r="A46" s="1">
        <v>41883</v>
      </c>
      <c r="B46">
        <v>8.2</v>
      </c>
      <c r="C46">
        <v>450</v>
      </c>
      <c r="D46">
        <v>125</v>
      </c>
      <c r="E46">
        <v>7.3</v>
      </c>
      <c r="F46">
        <v>1.033628615006064</v>
      </c>
      <c r="G46">
        <v>4.8</v>
      </c>
      <c r="H46">
        <v>7.884</v>
      </c>
      <c r="I46" s="48">
        <v>2310.23</v>
      </c>
      <c r="J46" s="49">
        <v>54.965</v>
      </c>
      <c r="K46" s="26">
        <v>17.4153</v>
      </c>
      <c r="L46" s="51">
        <v>0.7262</v>
      </c>
      <c r="M46" s="26">
        <v>181.5</v>
      </c>
      <c r="N46" s="26">
        <v>82.7957</v>
      </c>
      <c r="O46" s="48">
        <f t="shared" si="0"/>
        <v>1571.974831997758</v>
      </c>
      <c r="P46">
        <f t="shared" si="4"/>
        <v>580.3727480839543</v>
      </c>
      <c r="Q46">
        <f t="shared" si="1"/>
        <v>156.69309911186275</v>
      </c>
      <c r="R46">
        <f t="shared" si="2"/>
        <v>1.189320806425072</v>
      </c>
    </row>
    <row r="47" spans="1:18" ht="12.75">
      <c r="A47" s="1">
        <v>41913</v>
      </c>
      <c r="B47">
        <v>8.4</v>
      </c>
      <c r="C47">
        <v>750</v>
      </c>
      <c r="D47">
        <v>185</v>
      </c>
      <c r="E47">
        <v>20.2</v>
      </c>
      <c r="F47">
        <v>1.7931327556801493</v>
      </c>
      <c r="G47">
        <v>4.3999999999999995</v>
      </c>
      <c r="H47">
        <v>8.595</v>
      </c>
      <c r="I47" s="48">
        <v>2686.75</v>
      </c>
      <c r="J47">
        <v>-108.248</v>
      </c>
      <c r="K47" s="26">
        <v>17.4153</v>
      </c>
      <c r="L47" s="51">
        <v>0.7262</v>
      </c>
      <c r="M47" s="26">
        <v>181.5</v>
      </c>
      <c r="N47" s="26">
        <v>82.7957</v>
      </c>
      <c r="O47" s="48">
        <f t="shared" si="0"/>
        <v>1657.3038127616544</v>
      </c>
      <c r="P47">
        <f t="shared" si="4"/>
        <v>771.5268938532612</v>
      </c>
      <c r="Q47">
        <f t="shared" si="1"/>
        <v>236.9212735545622</v>
      </c>
      <c r="R47">
        <f t="shared" si="2"/>
        <v>20.998019830522335</v>
      </c>
    </row>
    <row r="48" spans="1:18" ht="12.75">
      <c r="A48" s="1">
        <v>41944</v>
      </c>
      <c r="B48">
        <v>8.3</v>
      </c>
      <c r="C48">
        <v>600</v>
      </c>
      <c r="D48">
        <v>150</v>
      </c>
      <c r="E48">
        <v>17.8</v>
      </c>
      <c r="F48">
        <v>0.7075723040684458</v>
      </c>
      <c r="G48">
        <v>6.1</v>
      </c>
      <c r="H48">
        <v>9.464</v>
      </c>
      <c r="I48" s="48">
        <v>2848.83</v>
      </c>
      <c r="J48">
        <v>-9.632</v>
      </c>
      <c r="K48" s="26">
        <v>17.4153</v>
      </c>
      <c r="L48" s="51">
        <v>0.7262</v>
      </c>
      <c r="M48" s="26">
        <v>181.5</v>
      </c>
      <c r="N48" s="26">
        <v>82.7957</v>
      </c>
      <c r="O48" s="48">
        <f t="shared" si="0"/>
        <v>1971.7826994365482</v>
      </c>
      <c r="P48">
        <f t="shared" si="4"/>
        <v>662.5343998214449</v>
      </c>
      <c r="Q48">
        <f t="shared" si="1"/>
        <v>226.95123041906427</v>
      </c>
      <c r="R48">
        <f t="shared" si="2"/>
        <v>-12.438329677057439</v>
      </c>
    </row>
    <row r="49" spans="1:18" ht="12.75">
      <c r="A49" s="1">
        <v>41974</v>
      </c>
      <c r="B49">
        <v>8.5</v>
      </c>
      <c r="C49">
        <v>600</v>
      </c>
      <c r="D49">
        <v>190</v>
      </c>
      <c r="E49">
        <v>8.1</v>
      </c>
      <c r="F49">
        <v>1.6265501550610049</v>
      </c>
      <c r="G49">
        <v>4.5</v>
      </c>
      <c r="H49">
        <v>9.628</v>
      </c>
      <c r="I49">
        <v>2910.26</v>
      </c>
      <c r="J49">
        <v>-21.863</v>
      </c>
      <c r="K49" s="26">
        <v>17.4153</v>
      </c>
      <c r="L49" s="51">
        <v>0.7262</v>
      </c>
      <c r="M49" s="26">
        <v>181.5</v>
      </c>
      <c r="N49" s="26">
        <v>82.7957</v>
      </c>
      <c r="O49" s="48">
        <f t="shared" si="0"/>
        <v>1941.2636538617278</v>
      </c>
      <c r="P49">
        <f t="shared" si="4"/>
        <v>786.6142780237172</v>
      </c>
      <c r="Q49">
        <f t="shared" si="1"/>
        <v>164.89003092647494</v>
      </c>
      <c r="R49">
        <f t="shared" si="2"/>
        <v>17.492037188080275</v>
      </c>
    </row>
    <row r="50" spans="13:18" ht="12.75">
      <c r="M50" s="26"/>
      <c r="N50" s="73"/>
      <c r="O50" s="73" t="s">
        <v>61</v>
      </c>
      <c r="P50" s="73" t="s">
        <v>17</v>
      </c>
      <c r="Q50" s="73" t="s">
        <v>18</v>
      </c>
      <c r="R50" s="73" t="s">
        <v>19</v>
      </c>
    </row>
    <row r="51" spans="14:18" ht="12.75">
      <c r="N51" s="32" t="s">
        <v>65</v>
      </c>
      <c r="O51" s="74">
        <f>SUM(O2:O49)</f>
        <v>79817.12863552064</v>
      </c>
      <c r="P51" s="32">
        <f>SUM(P2:P49)</f>
        <v>16260.67245429174</v>
      </c>
      <c r="Q51" s="32">
        <f>SUM(Q2:Q49)</f>
        <v>10415.07785006958</v>
      </c>
      <c r="R51" s="32">
        <f>SUM(R2:R49)</f>
        <v>236.61106011803017</v>
      </c>
    </row>
    <row r="52" spans="6:18" ht="12.75">
      <c r="F52">
        <v>0.7</v>
      </c>
      <c r="N52" s="32"/>
      <c r="O52" s="75">
        <f>O51/SUM(O51:R51)</f>
        <v>0.7478451235503951</v>
      </c>
      <c r="P52" s="75">
        <f>P51/SUM(O51:R51)</f>
        <v>0.15235407247136423</v>
      </c>
      <c r="Q52" s="75">
        <f>Q51/SUM(O51:R51)</f>
        <v>0.09758388098799668</v>
      </c>
      <c r="R52" s="75">
        <f>R51/SUM(O51:R51)</f>
        <v>0.002216922990244123</v>
      </c>
    </row>
    <row r="56" spans="3:7" ht="12.75">
      <c r="C56" s="73"/>
      <c r="D56" s="73" t="s">
        <v>160</v>
      </c>
      <c r="E56" s="73" t="s">
        <v>161</v>
      </c>
      <c r="F56" s="73" t="s">
        <v>162</v>
      </c>
      <c r="G56" s="73" t="s">
        <v>163</v>
      </c>
    </row>
    <row r="57" spans="3:7" ht="12.75">
      <c r="C57" s="32" t="s">
        <v>159</v>
      </c>
      <c r="D57" s="32">
        <f>MARKEFF_PHARMA_DATA!M3</f>
        <v>8250000</v>
      </c>
      <c r="E57" s="32">
        <f>P51*1000</f>
        <v>16260672.45429174</v>
      </c>
      <c r="F57" s="32">
        <f>E57*F52</f>
        <v>11382470.718004217</v>
      </c>
      <c r="G57" s="74">
        <f>F57/D57</f>
        <v>1.3796934203641475</v>
      </c>
    </row>
    <row r="58" spans="3:7" ht="12.75">
      <c r="C58" s="32" t="s">
        <v>164</v>
      </c>
      <c r="D58" s="32">
        <f>MARKEFF_PHARMA_DATA!N3</f>
        <v>4492950</v>
      </c>
      <c r="E58" s="32">
        <f>Q51*1000</f>
        <v>10415077.850069579</v>
      </c>
      <c r="F58" s="32">
        <f>E58*0.7</f>
        <v>7290554.495048705</v>
      </c>
      <c r="G58" s="74">
        <f>F58/D58</f>
        <v>1.6226653969104274</v>
      </c>
    </row>
    <row r="59" spans="3:7" ht="12.75">
      <c r="C59" s="32" t="s">
        <v>165</v>
      </c>
      <c r="D59" s="32">
        <f>MARKEFF_PHARMA_DATA!O3</f>
        <v>4184667.2573733306</v>
      </c>
      <c r="E59" s="32">
        <f>R51*1000</f>
        <v>236611.06011803017</v>
      </c>
      <c r="F59" s="32">
        <f>E59*0.7</f>
        <v>165627.74208262112</v>
      </c>
      <c r="G59" s="74">
        <f>F59/D59</f>
        <v>0.03957966832148652</v>
      </c>
    </row>
    <row r="60" spans="3:7" ht="12.75">
      <c r="C60" s="32" t="s">
        <v>166</v>
      </c>
      <c r="D60" s="32">
        <f>SUM(D57:D59)</f>
        <v>16927617.25737333</v>
      </c>
      <c r="E60" s="32">
        <f>SUM(E57:E59)</f>
        <v>26912361.36447935</v>
      </c>
      <c r="F60" s="32">
        <f>SUM(F57:F59)</f>
        <v>18838652.955135543</v>
      </c>
      <c r="G60" s="74">
        <f>SUM(G57:G59)</f>
        <v>3.0419384855960616</v>
      </c>
    </row>
  </sheetData>
  <sheetProtection/>
  <printOptions/>
  <pageMargins left="0.75" right="0.75" top="1" bottom="1" header="0.3" footer="0.3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J1:BJ49"/>
  <sheetViews>
    <sheetView zoomScalePageLayoutView="0" workbookViewId="0" topLeftCell="A1">
      <selection activeCell="AK26" sqref="AK26"/>
    </sheetView>
  </sheetViews>
  <sheetFormatPr defaultColWidth="11.421875" defaultRowHeight="12.75"/>
  <cols>
    <col min="39" max="39" width="9.421875" style="0" bestFit="1" customWidth="1"/>
  </cols>
  <sheetData>
    <row r="1" spans="36:62" ht="12.75">
      <c r="AJ1" t="s">
        <v>67</v>
      </c>
      <c r="AL1" t="s">
        <v>68</v>
      </c>
      <c r="AM1" t="s">
        <v>89</v>
      </c>
      <c r="AN1" t="s">
        <v>50</v>
      </c>
      <c r="BG1" t="s">
        <v>85</v>
      </c>
      <c r="BH1" t="s">
        <v>0</v>
      </c>
      <c r="BI1" t="s">
        <v>9</v>
      </c>
      <c r="BJ1" t="s">
        <v>50</v>
      </c>
    </row>
    <row r="2" spans="38:62" ht="12.75">
      <c r="AL2" s="1">
        <v>40544</v>
      </c>
      <c r="AM2" s="48">
        <f>MARKEFF_PHARMA_DATA!K2</f>
        <v>2442</v>
      </c>
      <c r="AN2">
        <v>2363.72</v>
      </c>
      <c r="BH2" t="s">
        <v>70</v>
      </c>
      <c r="BI2">
        <v>2442</v>
      </c>
      <c r="BJ2">
        <v>2369.67</v>
      </c>
    </row>
    <row r="3" spans="38:62" ht="12.75">
      <c r="AL3" s="1">
        <v>40575</v>
      </c>
      <c r="AM3" s="48">
        <f>MARKEFF_PHARMA_DATA!K3</f>
        <v>2385.6</v>
      </c>
      <c r="AN3">
        <v>2373.78</v>
      </c>
      <c r="BH3" t="s">
        <v>71</v>
      </c>
      <c r="BI3">
        <v>2385.6</v>
      </c>
      <c r="BJ3">
        <v>2332.16</v>
      </c>
    </row>
    <row r="4" spans="38:62" ht="12.75">
      <c r="AL4" s="1">
        <v>40603</v>
      </c>
      <c r="AM4" s="48">
        <f>MARKEFF_PHARMA_DATA!K4</f>
        <v>1764.9</v>
      </c>
      <c r="AN4">
        <v>1942.61</v>
      </c>
      <c r="BH4" t="s">
        <v>72</v>
      </c>
      <c r="BI4">
        <v>1764.9</v>
      </c>
      <c r="BJ4">
        <v>1963.07</v>
      </c>
    </row>
    <row r="5" spans="38:62" ht="12.75">
      <c r="AL5" s="1">
        <v>40634</v>
      </c>
      <c r="AM5" s="48">
        <f>MARKEFF_PHARMA_DATA!K5</f>
        <v>1817.7</v>
      </c>
      <c r="AN5">
        <v>1953.52</v>
      </c>
      <c r="BH5" t="s">
        <v>73</v>
      </c>
      <c r="BI5">
        <v>1817.7</v>
      </c>
      <c r="BJ5">
        <v>1922.96</v>
      </c>
    </row>
    <row r="6" spans="38:62" ht="12.75">
      <c r="AL6" s="1">
        <v>40664</v>
      </c>
      <c r="AM6" s="48">
        <f>MARKEFF_PHARMA_DATA!K6</f>
        <v>2203.8</v>
      </c>
      <c r="AN6">
        <v>2285.22</v>
      </c>
      <c r="BH6" t="s">
        <v>74</v>
      </c>
      <c r="BI6">
        <v>2203.8</v>
      </c>
      <c r="BJ6">
        <v>2245.06</v>
      </c>
    </row>
    <row r="7" spans="38:62" ht="12.75">
      <c r="AL7" s="1">
        <v>40695</v>
      </c>
      <c r="AM7" s="48">
        <f>MARKEFF_PHARMA_DATA!K7</f>
        <v>2210.1</v>
      </c>
      <c r="AN7">
        <v>2207.68</v>
      </c>
      <c r="BH7" t="s">
        <v>75</v>
      </c>
      <c r="BI7">
        <v>2210.1</v>
      </c>
      <c r="BJ7">
        <v>2157.38</v>
      </c>
    </row>
    <row r="8" spans="38:62" ht="12.75">
      <c r="AL8" s="1">
        <v>40725</v>
      </c>
      <c r="AM8" s="48">
        <f>MARKEFF_PHARMA_DATA!K8</f>
        <v>2033.1000000000001</v>
      </c>
      <c r="AN8">
        <v>2072.92</v>
      </c>
      <c r="BH8" t="s">
        <v>76</v>
      </c>
      <c r="BI8">
        <v>2033.1</v>
      </c>
      <c r="BJ8">
        <v>2085.57</v>
      </c>
    </row>
    <row r="9" spans="38:62" ht="12.75">
      <c r="AL9" s="1">
        <v>40756</v>
      </c>
      <c r="AM9" s="48">
        <f>MARKEFF_PHARMA_DATA!K9</f>
        <v>1838.6999999999998</v>
      </c>
      <c r="AN9">
        <v>1938.04</v>
      </c>
      <c r="BH9" t="s">
        <v>77</v>
      </c>
      <c r="BI9">
        <v>1838.7</v>
      </c>
      <c r="BJ9">
        <v>1944.61</v>
      </c>
    </row>
    <row r="10" spans="38:62" ht="12.75">
      <c r="AL10" s="1">
        <v>40787</v>
      </c>
      <c r="AM10" s="48">
        <f>MARKEFF_PHARMA_DATA!K10</f>
        <v>2145.9</v>
      </c>
      <c r="AN10">
        <v>2135.87</v>
      </c>
      <c r="BH10" t="s">
        <v>78</v>
      </c>
      <c r="BI10">
        <v>2145.9</v>
      </c>
      <c r="BJ10">
        <v>2156.02</v>
      </c>
    </row>
    <row r="11" spans="38:62" ht="12.75">
      <c r="AL11" s="1">
        <v>40817</v>
      </c>
      <c r="AM11" s="48">
        <f>MARKEFF_PHARMA_DATA!K11</f>
        <v>1906.5000000000002</v>
      </c>
      <c r="AN11">
        <v>1859.54</v>
      </c>
      <c r="BH11" t="s">
        <v>79</v>
      </c>
      <c r="BI11">
        <v>1906.5</v>
      </c>
      <c r="BJ11">
        <v>1861.74</v>
      </c>
    </row>
    <row r="12" spans="38:62" ht="12.75">
      <c r="AL12" s="1">
        <v>40848</v>
      </c>
      <c r="AM12" s="48">
        <f>MARKEFF_PHARMA_DATA!K12</f>
        <v>2735.4</v>
      </c>
      <c r="AN12">
        <v>2827.93</v>
      </c>
      <c r="BH12" t="s">
        <v>80</v>
      </c>
      <c r="BI12">
        <v>2735.4</v>
      </c>
      <c r="BJ12">
        <v>2837.14</v>
      </c>
    </row>
    <row r="13" spans="38:62" ht="12.75">
      <c r="AL13" s="1">
        <v>40878</v>
      </c>
      <c r="AM13" s="48">
        <f>MARKEFF_PHARMA_DATA!K13</f>
        <v>2694.6</v>
      </c>
      <c r="AN13">
        <v>2772.92</v>
      </c>
      <c r="BH13" t="s">
        <v>81</v>
      </c>
      <c r="BI13">
        <v>2694.6</v>
      </c>
      <c r="BJ13">
        <v>2784.06</v>
      </c>
    </row>
    <row r="14" spans="38:62" ht="12.75">
      <c r="AL14" s="1">
        <v>40909</v>
      </c>
      <c r="AM14" s="48">
        <f>MARKEFF_PHARMA_DATA!K14</f>
        <v>1932.3</v>
      </c>
      <c r="AN14">
        <v>1878.19</v>
      </c>
      <c r="BH14" t="s">
        <v>70</v>
      </c>
      <c r="BI14">
        <v>1932.3</v>
      </c>
      <c r="BJ14">
        <v>1891.09</v>
      </c>
    </row>
    <row r="15" spans="38:62" ht="12.75">
      <c r="AL15" s="1">
        <v>40940</v>
      </c>
      <c r="AM15" s="48">
        <f>MARKEFF_PHARMA_DATA!K15</f>
        <v>2149.5</v>
      </c>
      <c r="AN15">
        <v>2002.74</v>
      </c>
      <c r="BH15" t="s">
        <v>71</v>
      </c>
      <c r="BI15">
        <v>2149.5</v>
      </c>
      <c r="BJ15">
        <v>2019.78</v>
      </c>
    </row>
    <row r="16" spans="38:62" ht="12.75">
      <c r="AL16" s="1">
        <v>40969</v>
      </c>
      <c r="AM16" s="48">
        <f>MARKEFF_PHARMA_DATA!K16</f>
        <v>1853.1</v>
      </c>
      <c r="AN16">
        <v>1806.5</v>
      </c>
      <c r="BH16" t="s">
        <v>72</v>
      </c>
      <c r="BI16">
        <v>1853.1</v>
      </c>
      <c r="BJ16">
        <v>1817.76</v>
      </c>
    </row>
    <row r="17" spans="38:62" ht="12.75">
      <c r="AL17" s="1">
        <v>41000</v>
      </c>
      <c r="AM17" s="48">
        <f>MARKEFF_PHARMA_DATA!K17</f>
        <v>2339.1</v>
      </c>
      <c r="AN17">
        <v>2256.28</v>
      </c>
      <c r="BH17" t="s">
        <v>73</v>
      </c>
      <c r="BI17">
        <v>2339.1</v>
      </c>
      <c r="BJ17">
        <v>2238.72</v>
      </c>
    </row>
    <row r="18" spans="38:62" ht="12.75">
      <c r="AL18" s="1">
        <v>41030</v>
      </c>
      <c r="AM18" s="48">
        <f>MARKEFF_PHARMA_DATA!K18</f>
        <v>1873.1999999999998</v>
      </c>
      <c r="AN18">
        <v>1889.38</v>
      </c>
      <c r="BH18" t="s">
        <v>74</v>
      </c>
      <c r="BI18">
        <v>1873.2</v>
      </c>
      <c r="BJ18">
        <v>1888.02</v>
      </c>
    </row>
    <row r="19" spans="38:62" ht="12.75">
      <c r="AL19" s="1">
        <v>41061</v>
      </c>
      <c r="AM19" s="48">
        <f>MARKEFF_PHARMA_DATA!K19</f>
        <v>1775.4</v>
      </c>
      <c r="AN19">
        <v>1787.13</v>
      </c>
      <c r="BH19" t="s">
        <v>75</v>
      </c>
      <c r="BI19">
        <v>1775.4</v>
      </c>
      <c r="BJ19">
        <v>1834.4</v>
      </c>
    </row>
    <row r="20" spans="38:62" ht="12.75">
      <c r="AL20" s="1">
        <v>41091</v>
      </c>
      <c r="AM20" s="48">
        <f>MARKEFF_PHARMA_DATA!K20</f>
        <v>1868.7</v>
      </c>
      <c r="AN20">
        <v>1873.76</v>
      </c>
      <c r="BH20" t="s">
        <v>76</v>
      </c>
      <c r="BI20">
        <v>1868.7</v>
      </c>
      <c r="BJ20">
        <v>1858.08</v>
      </c>
    </row>
    <row r="21" spans="38:62" ht="12.75">
      <c r="AL21" s="1">
        <v>41122</v>
      </c>
      <c r="AM21" s="48">
        <f>MARKEFF_PHARMA_DATA!K21</f>
        <v>1811.1</v>
      </c>
      <c r="AN21">
        <v>1806.93</v>
      </c>
      <c r="BH21" t="s">
        <v>77</v>
      </c>
      <c r="BI21">
        <v>1811.1</v>
      </c>
      <c r="BJ21">
        <v>1845.35</v>
      </c>
    </row>
    <row r="22" spans="38:62" ht="12.75">
      <c r="AL22" s="1">
        <v>41153</v>
      </c>
      <c r="AM22" s="48">
        <f>MARKEFF_PHARMA_DATA!K22</f>
        <v>2275.8</v>
      </c>
      <c r="AN22">
        <v>2303.48</v>
      </c>
      <c r="BH22" t="s">
        <v>78</v>
      </c>
      <c r="BI22">
        <v>2275.8</v>
      </c>
      <c r="BJ22">
        <v>2274.08</v>
      </c>
    </row>
    <row r="23" spans="38:62" ht="12.75">
      <c r="AL23" s="1">
        <v>41183</v>
      </c>
      <c r="AM23" s="48">
        <f>MARKEFF_PHARMA_DATA!K23</f>
        <v>1903.8</v>
      </c>
      <c r="AN23">
        <v>1803.07</v>
      </c>
      <c r="BH23" t="s">
        <v>79</v>
      </c>
      <c r="BI23">
        <v>1903.8</v>
      </c>
      <c r="BJ23">
        <v>1829.33</v>
      </c>
    </row>
    <row r="24" spans="38:62" ht="12.75">
      <c r="AL24" s="1">
        <v>41214</v>
      </c>
      <c r="AM24" s="48">
        <f>MARKEFF_PHARMA_DATA!K24</f>
        <v>2805</v>
      </c>
      <c r="AN24">
        <v>2785.66</v>
      </c>
      <c r="BH24" t="s">
        <v>80</v>
      </c>
      <c r="BI24">
        <v>2805</v>
      </c>
      <c r="BJ24">
        <v>2795.26</v>
      </c>
    </row>
    <row r="25" spans="38:62" ht="12.75">
      <c r="AL25" s="1">
        <v>41244</v>
      </c>
      <c r="AM25" s="48">
        <f>MARKEFF_PHARMA_DATA!K25</f>
        <v>2024.4</v>
      </c>
      <c r="AN25">
        <v>2034.37</v>
      </c>
      <c r="BH25" t="s">
        <v>81</v>
      </c>
      <c r="BI25">
        <v>2024.4</v>
      </c>
      <c r="BJ25">
        <v>2081.69</v>
      </c>
    </row>
    <row r="26" spans="38:62" ht="12.75">
      <c r="AL26" s="1">
        <v>41275</v>
      </c>
      <c r="AM26" s="48">
        <f>MARKEFF_PHARMA_DATA!K26</f>
        <v>2006.1000000000001</v>
      </c>
      <c r="AN26">
        <v>2027.61</v>
      </c>
      <c r="BH26" t="s">
        <v>70</v>
      </c>
      <c r="BI26">
        <v>2006.1</v>
      </c>
      <c r="BJ26">
        <v>2052.55</v>
      </c>
    </row>
    <row r="27" spans="38:62" ht="12.75">
      <c r="AL27" s="1">
        <v>41306</v>
      </c>
      <c r="AM27" s="48">
        <f>MARKEFF_PHARMA_DATA!K27</f>
        <v>1980.3</v>
      </c>
      <c r="AN27">
        <v>1877.54</v>
      </c>
      <c r="BH27" t="s">
        <v>71</v>
      </c>
      <c r="BI27">
        <v>1980.3</v>
      </c>
      <c r="BJ27">
        <v>1870.66</v>
      </c>
    </row>
    <row r="28" spans="38:62" ht="12.75">
      <c r="AL28" s="1">
        <v>41334</v>
      </c>
      <c r="AM28" s="48">
        <f>MARKEFF_PHARMA_DATA!K28</f>
        <v>2212.5</v>
      </c>
      <c r="AN28">
        <v>2196.8</v>
      </c>
      <c r="BH28" t="s">
        <v>72</v>
      </c>
      <c r="BI28">
        <v>2212.5</v>
      </c>
      <c r="BJ28">
        <v>2173.38</v>
      </c>
    </row>
    <row r="29" spans="38:62" ht="12.75">
      <c r="AL29" s="1">
        <v>41365</v>
      </c>
      <c r="AM29" s="48">
        <f>MARKEFF_PHARMA_DATA!K29</f>
        <v>1926</v>
      </c>
      <c r="AN29">
        <v>1970.34</v>
      </c>
      <c r="BH29" t="s">
        <v>73</v>
      </c>
      <c r="BI29">
        <v>1926</v>
      </c>
      <c r="BJ29">
        <v>1926.34</v>
      </c>
    </row>
    <row r="30" spans="38:62" ht="12.75">
      <c r="AL30" s="1">
        <v>41395</v>
      </c>
      <c r="AM30" s="48">
        <f>MARKEFF_PHARMA_DATA!K30</f>
        <v>2019.0000000000002</v>
      </c>
      <c r="AN30">
        <v>2017.47</v>
      </c>
      <c r="BH30" t="s">
        <v>74</v>
      </c>
      <c r="BI30">
        <v>2019</v>
      </c>
      <c r="BJ30">
        <v>1968.72</v>
      </c>
    </row>
    <row r="31" spans="38:62" ht="12.75">
      <c r="AL31" s="1">
        <v>41426</v>
      </c>
      <c r="AM31" s="48">
        <f>MARKEFF_PHARMA_DATA!K31</f>
        <v>2403.2999999999997</v>
      </c>
      <c r="AN31">
        <v>2398.69</v>
      </c>
      <c r="BH31" t="s">
        <v>75</v>
      </c>
      <c r="BI31">
        <v>2403.3</v>
      </c>
      <c r="BJ31">
        <v>2369.64</v>
      </c>
    </row>
    <row r="32" spans="38:62" ht="12.75">
      <c r="AL32" s="1">
        <v>41456</v>
      </c>
      <c r="AM32" s="48">
        <f>MARKEFF_PHARMA_DATA!K32</f>
        <v>2204.4</v>
      </c>
      <c r="AN32">
        <v>2278.74</v>
      </c>
      <c r="BH32" t="s">
        <v>76</v>
      </c>
      <c r="BI32">
        <v>2204.4</v>
      </c>
      <c r="BJ32">
        <v>2228.74</v>
      </c>
    </row>
    <row r="33" spans="38:62" ht="12.75">
      <c r="AL33" s="1">
        <v>41487</v>
      </c>
      <c r="AM33" s="48">
        <f>MARKEFF_PHARMA_DATA!K33</f>
        <v>2216.7000000000003</v>
      </c>
      <c r="AN33">
        <v>2148.12</v>
      </c>
      <c r="BH33" t="s">
        <v>77</v>
      </c>
      <c r="BI33">
        <v>2216.7</v>
      </c>
      <c r="BJ33">
        <v>2091.33</v>
      </c>
    </row>
    <row r="34" spans="38:62" ht="12.75">
      <c r="AL34" s="1">
        <v>41518</v>
      </c>
      <c r="AM34" s="48">
        <f>MARKEFF_PHARMA_DATA!K34</f>
        <v>2082.6</v>
      </c>
      <c r="AN34">
        <v>2160.07</v>
      </c>
      <c r="BH34" t="s">
        <v>78</v>
      </c>
      <c r="BI34">
        <v>2082.6</v>
      </c>
      <c r="BJ34">
        <v>2089.5</v>
      </c>
    </row>
    <row r="35" spans="38:62" ht="12.75">
      <c r="AL35" s="1">
        <v>41548</v>
      </c>
      <c r="AM35" s="48">
        <f>MARKEFF_PHARMA_DATA!K35</f>
        <v>2635.7999999999997</v>
      </c>
      <c r="AN35">
        <v>2601.25</v>
      </c>
      <c r="BH35" t="s">
        <v>79</v>
      </c>
      <c r="BI35">
        <v>2635.8</v>
      </c>
      <c r="BJ35">
        <v>2511.81</v>
      </c>
    </row>
    <row r="36" spans="38:62" ht="12.75">
      <c r="AL36" s="1">
        <v>41579</v>
      </c>
      <c r="AM36" s="48">
        <f>MARKEFF_PHARMA_DATA!K36</f>
        <v>2715</v>
      </c>
      <c r="AN36">
        <v>2641.81</v>
      </c>
      <c r="BH36" t="s">
        <v>80</v>
      </c>
      <c r="BI36">
        <v>2715</v>
      </c>
      <c r="BJ36">
        <v>2613.37</v>
      </c>
    </row>
    <row r="37" spans="38:62" ht="12.75">
      <c r="AL37" s="1">
        <v>41609</v>
      </c>
      <c r="AM37" s="48">
        <f>MARKEFF_PHARMA_DATA!K37</f>
        <v>2969.7</v>
      </c>
      <c r="AN37">
        <v>2881.41</v>
      </c>
      <c r="BH37" t="s">
        <v>81</v>
      </c>
      <c r="BI37">
        <v>2969.7</v>
      </c>
      <c r="BJ37">
        <v>2801.09</v>
      </c>
    </row>
    <row r="38" spans="38:62" ht="12.75">
      <c r="AL38" s="1">
        <v>41640</v>
      </c>
      <c r="AM38" s="48">
        <f>MARKEFF_PHARMA_DATA!K38</f>
        <v>2224.8</v>
      </c>
      <c r="AN38">
        <v>2272.17</v>
      </c>
      <c r="BH38" t="s">
        <v>70</v>
      </c>
      <c r="BI38">
        <v>2224.8</v>
      </c>
      <c r="BJ38">
        <v>2202.14</v>
      </c>
    </row>
    <row r="39" spans="38:62" ht="12.75">
      <c r="AL39" s="1">
        <v>41671</v>
      </c>
      <c r="AM39" s="48">
        <f>MARKEFF_PHARMA_DATA!K39</f>
        <v>2150.4</v>
      </c>
      <c r="AN39">
        <v>2295.75</v>
      </c>
      <c r="BH39" t="s">
        <v>71</v>
      </c>
      <c r="BI39">
        <v>2150.4</v>
      </c>
      <c r="BJ39">
        <v>2219.14</v>
      </c>
    </row>
    <row r="40" spans="38:62" ht="12.75">
      <c r="AL40" s="1">
        <v>41699</v>
      </c>
      <c r="AM40" s="48">
        <f>MARKEFF_PHARMA_DATA!K40</f>
        <v>2078.4</v>
      </c>
      <c r="AN40">
        <v>2234.28</v>
      </c>
      <c r="BH40" t="s">
        <v>72</v>
      </c>
      <c r="BI40">
        <v>2078.4</v>
      </c>
      <c r="BJ40">
        <v>2135.87</v>
      </c>
    </row>
    <row r="41" spans="38:62" ht="12.75">
      <c r="AL41" s="1">
        <v>41730</v>
      </c>
      <c r="AM41" s="48">
        <f>MARKEFF_PHARMA_DATA!K41</f>
        <v>2390.4</v>
      </c>
      <c r="AN41">
        <v>2634.56</v>
      </c>
      <c r="BH41" t="s">
        <v>73</v>
      </c>
      <c r="BI41">
        <v>2390.4</v>
      </c>
      <c r="BJ41">
        <v>2464.56</v>
      </c>
    </row>
    <row r="42" spans="38:62" ht="12.75">
      <c r="AL42" s="1">
        <v>41760</v>
      </c>
      <c r="AM42" s="48">
        <f>MARKEFF_PHARMA_DATA!K42</f>
        <v>2188.8</v>
      </c>
      <c r="AN42">
        <v>2255.32</v>
      </c>
      <c r="BH42" t="s">
        <v>74</v>
      </c>
      <c r="BI42">
        <v>2188.8</v>
      </c>
      <c r="BJ42">
        <v>2195.49</v>
      </c>
    </row>
    <row r="43" spans="38:62" ht="12.75">
      <c r="AL43" s="1">
        <v>41791</v>
      </c>
      <c r="AM43" s="48">
        <f>MARKEFF_PHARMA_DATA!K43</f>
        <v>2635.2000000000003</v>
      </c>
      <c r="AN43">
        <v>2801.97</v>
      </c>
      <c r="BH43" t="s">
        <v>75</v>
      </c>
      <c r="BI43">
        <v>2635.2</v>
      </c>
      <c r="BJ43">
        <v>2669.41</v>
      </c>
    </row>
    <row r="44" spans="38:62" ht="12.75">
      <c r="AL44" s="1">
        <v>41821</v>
      </c>
      <c r="AM44" s="48">
        <f>MARKEFF_PHARMA_DATA!K44</f>
        <v>2157.9</v>
      </c>
      <c r="AN44">
        <v>2288.87</v>
      </c>
      <c r="BH44" t="s">
        <v>76</v>
      </c>
      <c r="BI44">
        <v>2157.9</v>
      </c>
      <c r="BJ44">
        <v>2223.67</v>
      </c>
    </row>
    <row r="45" spans="38:62" ht="12.75">
      <c r="AL45" s="1">
        <v>41852</v>
      </c>
      <c r="AM45" s="48">
        <f>MARKEFF_PHARMA_DATA!K45</f>
        <v>2071.2</v>
      </c>
      <c r="AN45">
        <v>2229.79</v>
      </c>
      <c r="BH45" t="s">
        <v>77</v>
      </c>
      <c r="BI45">
        <v>2071.2</v>
      </c>
      <c r="BJ45">
        <v>2133.01</v>
      </c>
    </row>
    <row r="46" spans="38:62" ht="12.75">
      <c r="AL46" s="1">
        <v>41883</v>
      </c>
      <c r="AM46" s="48">
        <f>MARKEFF_PHARMA_DATA!K46</f>
        <v>2365.2000000000003</v>
      </c>
      <c r="AN46">
        <v>2418.52</v>
      </c>
      <c r="BH46" t="s">
        <v>78</v>
      </c>
      <c r="BI46">
        <v>2365.2</v>
      </c>
      <c r="BJ46">
        <v>2310.23</v>
      </c>
    </row>
    <row r="47" spans="38:62" ht="12.75">
      <c r="AL47" s="1">
        <v>41913</v>
      </c>
      <c r="AM47" s="48">
        <f>MARKEFF_PHARMA_DATA!K47</f>
        <v>2578.5</v>
      </c>
      <c r="AN47">
        <v>2842.01</v>
      </c>
      <c r="BH47" t="s">
        <v>79</v>
      </c>
      <c r="BI47">
        <v>2578.5</v>
      </c>
      <c r="BJ47">
        <v>2686.75</v>
      </c>
    </row>
    <row r="48" spans="38:62" ht="12.75">
      <c r="AL48" s="1">
        <v>41944</v>
      </c>
      <c r="AM48" s="48">
        <f>MARKEFF_PHARMA_DATA!K48</f>
        <v>2839.2000000000003</v>
      </c>
      <c r="AN48">
        <v>2940.88</v>
      </c>
      <c r="BH48" t="s">
        <v>80</v>
      </c>
      <c r="BI48">
        <v>2839.2</v>
      </c>
      <c r="BJ48">
        <v>2848.83</v>
      </c>
    </row>
    <row r="49" spans="38:62" ht="12.75">
      <c r="AL49" s="1">
        <v>41974</v>
      </c>
      <c r="AM49" s="48">
        <f>MARKEFF_PHARMA_DATA!K49</f>
        <v>2888.4</v>
      </c>
      <c r="AN49">
        <v>3001.25</v>
      </c>
      <c r="BH49" t="s">
        <v>81</v>
      </c>
      <c r="BI49">
        <v>2888.4</v>
      </c>
      <c r="BJ49">
        <v>2910.26</v>
      </c>
    </row>
  </sheetData>
  <sheetProtection/>
  <printOptions/>
  <pageMargins left="0.75" right="0.75" top="1" bottom="1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用户</cp:lastModifiedBy>
  <dcterms:modified xsi:type="dcterms:W3CDTF">2016-04-04T21:10:00Z</dcterms:modified>
  <cp:category/>
  <cp:version/>
  <cp:contentType/>
  <cp:contentStatus/>
</cp:coreProperties>
</file>